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mc:AlternateContent xmlns:mc="http://schemas.openxmlformats.org/markup-compatibility/2006">
    <mc:Choice Requires="x15">
      <x15ac:absPath xmlns:x15ac="http://schemas.microsoft.com/office/spreadsheetml/2010/11/ac" url="/Users/KKI/Desktop/Links_2023/"/>
    </mc:Choice>
  </mc:AlternateContent>
  <xr:revisionPtr revIDLastSave="0" documentId="8_{E82A3165-0D3E-994C-BABF-EA77AB611A08}" xr6:coauthVersionLast="47" xr6:coauthVersionMax="47" xr10:uidLastSave="{00000000-0000-0000-0000-000000000000}"/>
  <bookViews>
    <workbookView xWindow="980" yWindow="760" windowWidth="19420" windowHeight="10300" tabRatio="670" activeTab="1" xr2:uid="{00000000-000D-0000-FFFF-FFFF00000000}"/>
  </bookViews>
  <sheets>
    <sheet name="TOC" sheetId="2" r:id="rId1"/>
    <sheet name="SUM" sheetId="40" r:id="rId2"/>
    <sheet name="STE-P" sheetId="18" r:id="rId3"/>
    <sheet name="STE-R" sheetId="17" r:id="rId4"/>
    <sheet name="CEM-P" sheetId="11" r:id="rId5"/>
    <sheet name="CEM-R" sheetId="12" r:id="rId6"/>
    <sheet name="ALU-P" sheetId="35" r:id="rId7"/>
    <sheet name="ALU-R" sheetId="36" r:id="rId8"/>
    <sheet name="ALU-P1" sheetId="19" state="hidden" r:id="rId9"/>
    <sheet name="ALU-R1" sheetId="20" state="hidden" r:id="rId10"/>
    <sheet name="AMM-P" sheetId="9" r:id="rId11"/>
    <sheet name="AMM-R" sheetId="10" r:id="rId12"/>
    <sheet name="OIL-P" sheetId="21" r:id="rId13"/>
    <sheet name="OIL-R" sheetId="22" r:id="rId14"/>
    <sheet name="GAS-P" sheetId="13" r:id="rId15"/>
    <sheet name="GAS-R" sheetId="14" r:id="rId16"/>
    <sheet name="SHP-P" sheetId="24" r:id="rId17"/>
    <sheet name="SHP-R" sheetId="26" r:id="rId18"/>
    <sheet name="TRU-P" sheetId="29" r:id="rId19"/>
    <sheet name="TRU-R" sheetId="30" r:id="rId20"/>
    <sheet name="AVI - P" sheetId="27" r:id="rId21"/>
    <sheet name="AVI-R" sheetId="28" r:id="rId22"/>
    <sheet name="GLO" sheetId="15" r:id="rId23"/>
  </sheets>
  <definedNames>
    <definedName name="_Order1" hidden="1">255</definedName>
    <definedName name="_Order2" hidden="1">255</definedName>
    <definedName name="cubicFoot">'GAS-P'!$J$6</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4" l="1"/>
  <c r="E102" i="40"/>
  <c r="D102" i="40"/>
  <c r="E75" i="40"/>
  <c r="F75" i="40"/>
  <c r="G75" i="40"/>
  <c r="H75" i="40"/>
  <c r="D75" i="40"/>
  <c r="G54" i="40"/>
  <c r="G52" i="40"/>
  <c r="G53" i="40"/>
  <c r="G59" i="40"/>
  <c r="G58" i="40"/>
  <c r="G57" i="40"/>
  <c r="G56" i="40"/>
  <c r="G61" i="40"/>
  <c r="E8" i="40"/>
  <c r="F8" i="40"/>
  <c r="G8" i="40"/>
  <c r="H8" i="40"/>
  <c r="I8" i="40"/>
  <c r="D8" i="40"/>
  <c r="E17" i="40"/>
  <c r="F17" i="40"/>
  <c r="G17" i="40"/>
  <c r="H17" i="40"/>
  <c r="D17" i="40"/>
  <c r="C12" i="21"/>
  <c r="C51" i="9"/>
  <c r="C50" i="9"/>
  <c r="C49" i="9"/>
  <c r="C48" i="9"/>
  <c r="C22" i="35"/>
  <c r="D27" i="35"/>
  <c r="D37" i="35"/>
  <c r="D32" i="35" s="1"/>
  <c r="D38" i="35"/>
  <c r="C59" i="12"/>
  <c r="C44" i="12"/>
  <c r="D39" i="35" l="1"/>
  <c r="C51" i="12"/>
  <c r="C65" i="14" l="1"/>
  <c r="C64" i="14" s="1"/>
  <c r="C68" i="14" l="1"/>
  <c r="C69" i="14"/>
  <c r="C134" i="22"/>
  <c r="C110" i="14"/>
  <c r="C112" i="14" s="1"/>
  <c r="C87" i="10" l="1"/>
  <c r="C43" i="30" l="1"/>
  <c r="C73" i="17"/>
  <c r="C19" i="18"/>
  <c r="C46" i="35" l="1"/>
  <c r="C56" i="35" l="1"/>
  <c r="C54" i="35"/>
  <c r="C88" i="10" l="1"/>
  <c r="C66" i="12" l="1"/>
  <c r="C67" i="12"/>
  <c r="C38" i="9"/>
  <c r="C127" i="22" l="1"/>
  <c r="C137" i="22" l="1"/>
  <c r="C60" i="22" l="1"/>
  <c r="C72" i="12"/>
  <c r="C73" i="12"/>
  <c r="C32" i="24" l="1"/>
  <c r="C74" i="36"/>
  <c r="C19" i="36" l="1"/>
  <c r="C71" i="35" l="1"/>
  <c r="C112" i="36" l="1"/>
  <c r="C129" i="17" l="1"/>
  <c r="C128" i="17"/>
  <c r="C92" i="28" l="1"/>
  <c r="C95" i="28" s="1"/>
  <c r="C91" i="28"/>
  <c r="C94" i="28" s="1"/>
  <c r="C23" i="27" l="1"/>
  <c r="C84" i="26" l="1"/>
  <c r="C94" i="26" s="1"/>
  <c r="C83" i="26"/>
  <c r="C93" i="26" l="1"/>
  <c r="C86" i="12" l="1"/>
  <c r="C88" i="12" s="1"/>
  <c r="C87" i="12"/>
  <c r="C71" i="10" l="1"/>
  <c r="C70" i="10"/>
  <c r="C25" i="29" l="1"/>
  <c r="C26" i="29"/>
  <c r="C27" i="29"/>
  <c r="C65" i="30"/>
  <c r="C74" i="22" l="1"/>
  <c r="C73" i="21" l="1"/>
  <c r="C90" i="14" l="1"/>
  <c r="C91" i="14" s="1"/>
  <c r="C84" i="14" l="1"/>
  <c r="C77" i="14"/>
  <c r="C75" i="14"/>
  <c r="C55" i="14"/>
  <c r="C53" i="14"/>
  <c r="C34" i="14"/>
  <c r="C22" i="14"/>
  <c r="C78" i="14" l="1"/>
  <c r="C52" i="14"/>
  <c r="C61" i="14" s="1"/>
  <c r="C94" i="14"/>
  <c r="C86" i="14"/>
  <c r="C80" i="14"/>
  <c r="C51" i="13"/>
  <c r="C58" i="13" l="1"/>
  <c r="C59" i="13"/>
  <c r="C32" i="13"/>
  <c r="J22" i="21"/>
  <c r="C34" i="13" l="1"/>
  <c r="C35" i="13"/>
  <c r="C33" i="13"/>
  <c r="C36" i="13"/>
  <c r="C88" i="36" l="1"/>
  <c r="C89" i="36"/>
  <c r="C77" i="36"/>
  <c r="C66" i="36"/>
  <c r="C67" i="36" s="1"/>
  <c r="C69" i="36" s="1"/>
  <c r="C52" i="36"/>
  <c r="C53" i="36" s="1"/>
  <c r="C46" i="36"/>
  <c r="C45" i="36"/>
  <c r="C10" i="35"/>
  <c r="C68" i="36" l="1"/>
  <c r="C54" i="36"/>
  <c r="C56" i="36" s="1"/>
  <c r="C49" i="36" s="1"/>
  <c r="C76" i="36"/>
  <c r="C96" i="36"/>
  <c r="C99" i="36"/>
  <c r="C94" i="36"/>
  <c r="C91" i="36"/>
  <c r="J88" i="36"/>
  <c r="J89" i="36" s="1"/>
  <c r="C62" i="36" l="1"/>
  <c r="C50" i="36"/>
  <c r="C108" i="36"/>
  <c r="C113" i="36" s="1"/>
  <c r="C89" i="30" l="1"/>
  <c r="C91" i="30" s="1"/>
  <c r="C96" i="30" s="1"/>
  <c r="C97" i="30" s="1"/>
  <c r="C61" i="27"/>
  <c r="C12" i="27"/>
  <c r="C14" i="27" s="1"/>
  <c r="C27" i="13" l="1"/>
  <c r="C14" i="13"/>
  <c r="C25" i="13"/>
  <c r="C58" i="12" l="1"/>
  <c r="C80" i="28" l="1"/>
  <c r="C73" i="28"/>
  <c r="C72" i="28"/>
  <c r="C12" i="13"/>
  <c r="C75" i="13" s="1"/>
  <c r="C82" i="10" l="1"/>
  <c r="C84" i="10" s="1"/>
  <c r="C79" i="10"/>
  <c r="C86" i="10" s="1"/>
  <c r="C64" i="10"/>
  <c r="C83" i="10" l="1"/>
  <c r="C14" i="9" l="1"/>
  <c r="C9" i="9"/>
  <c r="C28" i="11"/>
  <c r="C120" i="22" l="1"/>
  <c r="C42" i="21" l="1"/>
  <c r="C53" i="21" l="1"/>
  <c r="C59" i="21" l="1"/>
  <c r="C62" i="21"/>
  <c r="C61" i="21"/>
  <c r="C60" i="21"/>
  <c r="C89" i="12"/>
  <c r="C65" i="12"/>
  <c r="C50" i="12"/>
  <c r="J20" i="11"/>
  <c r="J37" i="11" s="1"/>
  <c r="C66" i="30" l="1"/>
  <c r="C51" i="30"/>
  <c r="C77" i="30" l="1"/>
  <c r="C56" i="30"/>
  <c r="C55" i="30"/>
  <c r="C48" i="30"/>
  <c r="C59" i="29"/>
  <c r="C31" i="29"/>
  <c r="C12" i="29"/>
  <c r="C9" i="29"/>
  <c r="C78" i="30" l="1"/>
  <c r="C79" i="30"/>
  <c r="C45" i="29" l="1"/>
  <c r="C98" i="22" l="1"/>
  <c r="C100" i="22" s="1"/>
  <c r="C94" i="22"/>
  <c r="C75" i="22"/>
  <c r="C72" i="22" s="1"/>
  <c r="C62" i="22"/>
  <c r="C64" i="22" s="1"/>
  <c r="C47" i="21"/>
  <c r="C46" i="21"/>
  <c r="C78" i="22" l="1"/>
  <c r="C77" i="22"/>
  <c r="C28" i="21"/>
  <c r="C26" i="21"/>
  <c r="C24" i="21"/>
  <c r="C37" i="21" l="1"/>
  <c r="C38" i="21"/>
  <c r="C39" i="21"/>
  <c r="C84" i="22" s="1"/>
  <c r="C83" i="22" s="1"/>
  <c r="C15" i="21"/>
  <c r="C104" i="26"/>
  <c r="C106" i="26" s="1"/>
  <c r="C109" i="26" s="1"/>
  <c r="C87" i="22" l="1"/>
  <c r="C88" i="22"/>
  <c r="C88" i="26"/>
  <c r="C75" i="26"/>
  <c r="C74" i="26"/>
  <c r="C68" i="26"/>
  <c r="C93" i="17"/>
  <c r="C79" i="28"/>
  <c r="C115" i="26" l="1"/>
  <c r="C90" i="26"/>
  <c r="C89" i="26"/>
  <c r="C67" i="26"/>
  <c r="C114" i="26" l="1"/>
  <c r="C54" i="26"/>
  <c r="C60" i="26" l="1"/>
  <c r="C61" i="26"/>
  <c r="C41" i="11"/>
  <c r="C40" i="11"/>
  <c r="C39" i="11"/>
  <c r="C43" i="11"/>
  <c r="C50" i="11"/>
  <c r="C49" i="11"/>
  <c r="C48" i="11"/>
  <c r="C32" i="11"/>
  <c r="C11" i="11"/>
  <c r="C9" i="11" s="1"/>
  <c r="C47" i="11" l="1"/>
  <c r="C38" i="11"/>
  <c r="C84" i="17"/>
  <c r="C82" i="17"/>
  <c r="C66" i="17"/>
  <c r="C44" i="18"/>
  <c r="C62" i="24" l="1"/>
  <c r="C44" i="24" l="1"/>
  <c r="C42" i="24" l="1"/>
  <c r="C43" i="24"/>
  <c r="C41" i="24"/>
  <c r="C40" i="24"/>
  <c r="C45" i="24"/>
  <c r="C47" i="19"/>
  <c r="C81" i="17"/>
  <c r="C127" i="20"/>
  <c r="C128" i="20" s="1"/>
  <c r="C106" i="20"/>
  <c r="C103" i="20"/>
  <c r="C92" i="20"/>
  <c r="C94" i="20" s="1"/>
  <c r="C86" i="20"/>
  <c r="C87" i="20"/>
  <c r="C84" i="20"/>
  <c r="C72" i="20"/>
  <c r="C74" i="20" s="1"/>
  <c r="C27" i="19"/>
  <c r="C107" i="17"/>
  <c r="C109" i="17" s="1"/>
  <c r="C78" i="17"/>
  <c r="C76" i="20"/>
  <c r="C86" i="17" l="1"/>
  <c r="C47" i="24"/>
  <c r="C95" i="20"/>
  <c r="C68" i="20"/>
  <c r="C80" i="20" s="1"/>
  <c r="C108" i="17"/>
  <c r="C31" i="18"/>
  <c r="D32" i="13" l="1"/>
  <c r="C56" i="20" l="1"/>
  <c r="C107" i="20"/>
  <c r="D51" i="13"/>
  <c r="C72" i="19"/>
  <c r="D57" i="13" l="1"/>
  <c r="C57" i="13"/>
  <c r="C60" i="13"/>
  <c r="C114" i="20"/>
  <c r="C112" i="20"/>
  <c r="J106" i="20"/>
  <c r="J107" i="20" s="1"/>
  <c r="C117" i="20"/>
  <c r="C109" i="20"/>
  <c r="C63" i="21" l="1"/>
  <c r="C61" i="13"/>
  <c r="D12" i="13" l="1"/>
  <c r="D75" i="13" s="1"/>
  <c r="D26" i="13" l="1"/>
  <c r="D27" i="13" s="1"/>
  <c r="D24" i="13"/>
  <c r="D25" i="13" s="1"/>
  <c r="C39" i="19" l="1"/>
  <c r="C38" i="19" l="1"/>
  <c r="C150" i="20" l="1"/>
  <c r="C61" i="20"/>
  <c r="C65" i="20" s="1"/>
  <c r="C54" i="19"/>
  <c r="C32" i="19"/>
  <c r="C57" i="19" l="1"/>
  <c r="C56" i="19"/>
  <c r="C40" i="19"/>
  <c r="C55" i="19"/>
  <c r="C59" i="19" s="1"/>
  <c r="C64" i="20"/>
  <c r="C94" i="17" l="1"/>
  <c r="C83" i="17"/>
  <c r="C51" i="18"/>
  <c r="C9" i="18"/>
  <c r="C85" i="17" l="1"/>
  <c r="C62" i="18"/>
  <c r="C59" i="18"/>
  <c r="C60" i="18"/>
  <c r="C61" i="18"/>
  <c r="C64" i="18" l="1"/>
  <c r="D58" i="13" l="1"/>
  <c r="D14" i="13"/>
  <c r="D59" i="13" l="1"/>
  <c r="D60" i="13"/>
  <c r="D61" i="13" l="1"/>
  <c r="C20" i="35" l="1"/>
  <c r="C68" i="35" s="1"/>
  <c r="C38" i="35" l="1"/>
  <c r="C27" i="35"/>
  <c r="C37" i="35"/>
  <c r="C39" i="35" l="1"/>
  <c r="C32" i="35"/>
</calcChain>
</file>

<file path=xl/sharedStrings.xml><?xml version="1.0" encoding="utf-8"?>
<sst xmlns="http://schemas.openxmlformats.org/spreadsheetml/2006/main" count="7272" uniqueCount="1561">
  <si>
    <t>World Economic Forum - Net-Zero Industry Tracker 2022</t>
  </si>
  <si>
    <t>Data Sheet</t>
  </si>
  <si>
    <t>Guide to tabs:</t>
  </si>
  <si>
    <t>Cell Legend:</t>
  </si>
  <si>
    <t xml:space="preserve">Calculated Cell </t>
  </si>
  <si>
    <t>Manual Input</t>
  </si>
  <si>
    <t>Key Final values in tracker</t>
  </si>
  <si>
    <t>units:</t>
  </si>
  <si>
    <t>Aluminium</t>
  </si>
  <si>
    <t>Beyond 2 Degrees: The Outlook for The Aluminium Sector Factsheet - International Aluminium Institute (international-aluminium.org)</t>
  </si>
  <si>
    <t>Ammonia</t>
  </si>
  <si>
    <t>Steel</t>
  </si>
  <si>
    <t>Primary</t>
  </si>
  <si>
    <t>Secondary</t>
  </si>
  <si>
    <t>Cement</t>
  </si>
  <si>
    <t>Oil</t>
  </si>
  <si>
    <t>Natural Gas</t>
  </si>
  <si>
    <t>Shipping</t>
  </si>
  <si>
    <t>Trucking</t>
  </si>
  <si>
    <t>IEA Net Zero by 2050</t>
  </si>
  <si>
    <t>Aviation</t>
  </si>
  <si>
    <t>BAU</t>
  </si>
  <si>
    <t>Gt CO2e</t>
  </si>
  <si>
    <t>Scope 1</t>
  </si>
  <si>
    <t>Scope 2</t>
  </si>
  <si>
    <t xml:space="preserve">Scope 3 </t>
  </si>
  <si>
    <t xml:space="preserve">Natural Gas </t>
  </si>
  <si>
    <t>Total</t>
  </si>
  <si>
    <t>Source</t>
  </si>
  <si>
    <t>Link</t>
  </si>
  <si>
    <t xml:space="preserve">Scope 2 </t>
  </si>
  <si>
    <t>https://iea.blob.core.windows.net/assets/deebef5d-0c34-4539-9d0c-10b13d840027/NetZeroby2050-ARoadmapfortheGlobalEnergySector_CORR.pdf</t>
  </si>
  <si>
    <t>Others</t>
  </si>
  <si>
    <t>%</t>
  </si>
  <si>
    <t>Public Access - International Aluminium Institute (international-aluminium.org)</t>
  </si>
  <si>
    <t>https://gccassociation.org/concretefuture/wp-content/uploads/2021/10/GCCA-Concrete-Future-Roadmap-Document-AW.pdf</t>
  </si>
  <si>
    <t>https://iea.blob.core.windows.net/assets/261043cc-0cb6-498b-98fa-a1f48715b91f/GasMarketReportQ42021.pdf</t>
  </si>
  <si>
    <t>ENERGY CONSUMPTION BY SECTOR (EXAJOULES)</t>
  </si>
  <si>
    <t>EJ</t>
  </si>
  <si>
    <t>Coal</t>
  </si>
  <si>
    <t>Electricity</t>
  </si>
  <si>
    <t>Oil &amp; Gas</t>
  </si>
  <si>
    <t>Data not available</t>
  </si>
  <si>
    <t>GW</t>
  </si>
  <si>
    <t>MTPA</t>
  </si>
  <si>
    <t>Clean Power</t>
  </si>
  <si>
    <t>Clean H2</t>
  </si>
  <si>
    <t>Metric</t>
  </si>
  <si>
    <t>Value</t>
  </si>
  <si>
    <t>Units</t>
  </si>
  <si>
    <t>Year</t>
  </si>
  <si>
    <t>IEA</t>
  </si>
  <si>
    <t>-</t>
  </si>
  <si>
    <t>Bn USD</t>
  </si>
  <si>
    <t>Annual CAPEX</t>
  </si>
  <si>
    <t>India</t>
  </si>
  <si>
    <t>Production</t>
  </si>
  <si>
    <t>Cement (usgs.gov)</t>
  </si>
  <si>
    <t>https://iea.blob.core.windows.net/assets/6ee41bb9-8e81-4b64-8701-2acc064ff6e4/AmmoniaTechnologyRoadmap.pdf</t>
  </si>
  <si>
    <t>Biofuels</t>
  </si>
  <si>
    <t>Other</t>
  </si>
  <si>
    <t>MT</t>
  </si>
  <si>
    <t>Demand</t>
  </si>
  <si>
    <t>NZS</t>
  </si>
  <si>
    <t>MT Methane</t>
  </si>
  <si>
    <t>https://www.iea.org/reports/global-methane-tracker-2023/overview</t>
  </si>
  <si>
    <t>https://www.iea.org/energy-system/transport</t>
  </si>
  <si>
    <t>x</t>
  </si>
  <si>
    <t>Gas</t>
  </si>
  <si>
    <t>Total by enabler</t>
  </si>
  <si>
    <t>Capital</t>
  </si>
  <si>
    <t>Technology</t>
  </si>
  <si>
    <t>Cement Plant with CCUS</t>
  </si>
  <si>
    <t>Kiln Electrification</t>
  </si>
  <si>
    <t>Green H2 for Heating</t>
  </si>
  <si>
    <t>Hydrogen</t>
  </si>
  <si>
    <t>Electric Boilers for low and mid-heat processes</t>
  </si>
  <si>
    <t>Mechanical Vapour Recompression</t>
  </si>
  <si>
    <t>Decarbonization of Electricity (renewables / fossil with CCUS / nuclear / hydro)</t>
  </si>
  <si>
    <t>Inert Anodes</t>
  </si>
  <si>
    <t>CCUS</t>
  </si>
  <si>
    <t>DRI – EAF with CCS</t>
  </si>
  <si>
    <t>Infrastructure</t>
  </si>
  <si>
    <t>BF – BOF with CCS</t>
  </si>
  <si>
    <t>BF – BOF with BECCS</t>
  </si>
  <si>
    <t>BF – BOF with CCU</t>
  </si>
  <si>
    <t>Smelting Reduction with CCS</t>
  </si>
  <si>
    <t xml:space="preserve">DRI – Melt – BOF  with CCS </t>
  </si>
  <si>
    <r>
      <t>DRI – EAF 100% green H</t>
    </r>
    <r>
      <rPr>
        <vertAlign val="subscript"/>
        <sz val="9"/>
        <color rgb="FF000000"/>
        <rFont val="Arial"/>
        <family val="2"/>
      </rPr>
      <t>2</t>
    </r>
    <r>
      <rPr>
        <sz val="9"/>
        <color rgb="FF000000"/>
        <rFont val="Arial"/>
        <family val="2"/>
      </rPr>
      <t xml:space="preserve"> </t>
    </r>
  </si>
  <si>
    <r>
      <t>DRI – Melt – BOF 100% green H</t>
    </r>
    <r>
      <rPr>
        <vertAlign val="subscript"/>
        <sz val="9"/>
        <color rgb="FF000000"/>
        <rFont val="Arial"/>
        <family val="2"/>
      </rPr>
      <t>2</t>
    </r>
    <r>
      <rPr>
        <sz val="9"/>
        <color rgb="FF000000"/>
        <rFont val="Arial"/>
        <family val="2"/>
      </rPr>
      <t xml:space="preserve"> </t>
    </r>
  </si>
  <si>
    <t>Electrolyser – EAF</t>
  </si>
  <si>
    <t xml:space="preserve">Electrowinning – EAF </t>
  </si>
  <si>
    <t>Scrap – based EAF with green power</t>
  </si>
  <si>
    <t xml:space="preserve">Available </t>
  </si>
  <si>
    <t>SMR / ATR with CCS</t>
  </si>
  <si>
    <t>Grid Connected Electrolysis</t>
  </si>
  <si>
    <t>Dedicated VRE electrolysis</t>
  </si>
  <si>
    <t>Biomass gasification</t>
  </si>
  <si>
    <t xml:space="preserve">Methane pyrolysis </t>
  </si>
  <si>
    <t>Fugitive Methane Capture Technologies</t>
  </si>
  <si>
    <t>B2B Green Premium</t>
  </si>
  <si>
    <t>B2C Green Premium</t>
  </si>
  <si>
    <t>Zero Flaring Technologies</t>
  </si>
  <si>
    <t xml:space="preserve">Well Delivery &amp; Production Electrification </t>
  </si>
  <si>
    <t>Electrification</t>
  </si>
  <si>
    <t>Well Delivery &amp; Production Electrification</t>
  </si>
  <si>
    <t>Carbon Capture</t>
  </si>
  <si>
    <t>LNG Electrification</t>
  </si>
  <si>
    <t>Methanol</t>
  </si>
  <si>
    <t>Battery Electric Trucks</t>
  </si>
  <si>
    <t>Hydrogen Electric Trucks</t>
  </si>
  <si>
    <t>HEFA</t>
  </si>
  <si>
    <t>Other biofuels</t>
  </si>
  <si>
    <t>PtL</t>
  </si>
  <si>
    <t>H2 aircraft</t>
  </si>
  <si>
    <t>Battery -electric</t>
  </si>
  <si>
    <t>Additional CapEx Required</t>
  </si>
  <si>
    <t>BAU CapEx</t>
  </si>
  <si>
    <t>PPE</t>
  </si>
  <si>
    <t>Steel - Performance Data</t>
  </si>
  <si>
    <t>What steel emits, captures &amp; offsets</t>
  </si>
  <si>
    <t>Previous year value</t>
  </si>
  <si>
    <t>Location (if required)</t>
  </si>
  <si>
    <t>Calculation / comment</t>
  </si>
  <si>
    <t xml:space="preserve">Total </t>
  </si>
  <si>
    <t>GT CO2e</t>
  </si>
  <si>
    <t>MPP (ETC)</t>
  </si>
  <si>
    <t>MPP-Steel-Transition-Strategy-Oct-2022.pdf (missionpossiblepartnership.org)</t>
  </si>
  <si>
    <t>page 27</t>
  </si>
  <si>
    <t>Same as above</t>
  </si>
  <si>
    <t>page 29</t>
  </si>
  <si>
    <t xml:space="preserve">Scope 1 Non - CO2 emissions </t>
  </si>
  <si>
    <t>Assumption</t>
  </si>
  <si>
    <t xml:space="preserve">Total CCUS </t>
  </si>
  <si>
    <t>MT CO2e</t>
  </si>
  <si>
    <t>IEA CCUS Projects Database</t>
  </si>
  <si>
    <t xml:space="preserve">Total Offsets </t>
  </si>
  <si>
    <t>Data not available for steel producers buying offsets</t>
  </si>
  <si>
    <t>What is produced</t>
  </si>
  <si>
    <t xml:space="preserve">Total Production </t>
  </si>
  <si>
    <t>Bn T</t>
  </si>
  <si>
    <t>World Steel</t>
  </si>
  <si>
    <t>2022-World-Steel-in-Figures.pdf (worldsteel.org)</t>
  </si>
  <si>
    <t>page 10</t>
  </si>
  <si>
    <t>Oxygen route</t>
  </si>
  <si>
    <t>Mn T</t>
  </si>
  <si>
    <t>same as above</t>
  </si>
  <si>
    <t>Electric route</t>
  </si>
  <si>
    <t>Open hearth route</t>
  </si>
  <si>
    <t>Reduced Emission Prod</t>
  </si>
  <si>
    <t>Data provided by CRU</t>
  </si>
  <si>
    <t>CRU</t>
  </si>
  <si>
    <t>0.36 Bn T reduced emission production (Data provided by CRU )</t>
  </si>
  <si>
    <t>Low Emission Prod</t>
  </si>
  <si>
    <t>Steel Recycled (for prim. &amp; sec.)</t>
  </si>
  <si>
    <t>GMK</t>
  </si>
  <si>
    <t>GMK - World Steel Scrap Consumption</t>
  </si>
  <si>
    <t>Percentage</t>
  </si>
  <si>
    <t>How it is produced</t>
  </si>
  <si>
    <t>Production Emission Intensity</t>
  </si>
  <si>
    <t>Global Average</t>
  </si>
  <si>
    <t>T CO2e per T</t>
  </si>
  <si>
    <t>Sustainability indicators - worldsteel.org</t>
  </si>
  <si>
    <t>10th Percentile</t>
  </si>
  <si>
    <t>BLAST FURNACE – BOF</t>
  </si>
  <si>
    <t>ELECTRIC ARC FURNACE (EAF)</t>
  </si>
  <si>
    <t>DIRECT REDUCED IRON – EAF</t>
  </si>
  <si>
    <t>% of Production</t>
  </si>
  <si>
    <t xml:space="preserve">Energy Intensity </t>
  </si>
  <si>
    <t>GJ / T</t>
  </si>
  <si>
    <t>What energy is used</t>
  </si>
  <si>
    <t>Fuel Use</t>
  </si>
  <si>
    <t>Bn GJ</t>
  </si>
  <si>
    <t>https://www.iea.org/reports/iron-and-steel</t>
  </si>
  <si>
    <t>Iron and steel final energy demand and energy intensity in the Net Zero Scenario, 2018-2030</t>
  </si>
  <si>
    <t xml:space="preserve">Electricity </t>
  </si>
  <si>
    <t xml:space="preserve">Fuel GHG intensity </t>
  </si>
  <si>
    <t>Kg CO2e / GJ</t>
  </si>
  <si>
    <t>EIA</t>
  </si>
  <si>
    <t>https://www.eia.gov/environment/emissions/co2_vol_mass.php</t>
  </si>
  <si>
    <t>Use all coal - Divide kg/mmbtu by 1.0551 to get kg / GJ</t>
  </si>
  <si>
    <t>Use diesel - divide kg/mmbtu by 1.0551 to get kg / GJ</t>
  </si>
  <si>
    <t>Divide kg/mmbtu by 1.0551 to get kg / GJ</t>
  </si>
  <si>
    <t>https://www.iea.org/reports/electricity-sector</t>
  </si>
  <si>
    <t>2050 Projected Fuel Mix</t>
  </si>
  <si>
    <t>MPP</t>
  </si>
  <si>
    <t>https://dash-mpp.plotly.host/mpp-steel-net zero-explorer/</t>
  </si>
  <si>
    <t>Carbon Cost Scenario</t>
  </si>
  <si>
    <t>Fossil fuel with CCUS</t>
  </si>
  <si>
    <t>Bioenergy</t>
  </si>
  <si>
    <t>Unabated fossil fuels</t>
  </si>
  <si>
    <t>What it contributes to</t>
  </si>
  <si>
    <t xml:space="preserve">Scope 3 Main Categories </t>
  </si>
  <si>
    <t>Lifecycle Emissions</t>
  </si>
  <si>
    <t>T CO2 e / T</t>
  </si>
  <si>
    <t>Offset to Emission ratio</t>
  </si>
  <si>
    <t>Appendix: Demand projection</t>
  </si>
  <si>
    <t>Steel Production</t>
  </si>
  <si>
    <t>Mt</t>
  </si>
  <si>
    <t>https://worldsteel.org/steel-topics/statistics/annual-production-steel-data/?ind=P1_crude_steel_total_pub/CHN/IND</t>
  </si>
  <si>
    <t>2050 MPP Business-As-Usual Production</t>
  </si>
  <si>
    <t>Page 13</t>
  </si>
  <si>
    <t>2050 MPP High Circularity Scenario Production</t>
  </si>
  <si>
    <t>Steel - Readiness Data</t>
  </si>
  <si>
    <t>Expected Year of Commercial Readiness &amp; TRL</t>
  </si>
  <si>
    <t>2028 (5-9)</t>
  </si>
  <si>
    <t>2025 (8)</t>
  </si>
  <si>
    <t>Box 5</t>
  </si>
  <si>
    <t>Technology readiness levels are based on assessment with IEA TRL scale</t>
  </si>
  <si>
    <t>2028 (5-8)</t>
  </si>
  <si>
    <t>2028 (5-7)</t>
  </si>
  <si>
    <t>2030 (4-7)</t>
  </si>
  <si>
    <t>2026 (6)</t>
  </si>
  <si>
    <t>2035 (4-5)</t>
  </si>
  <si>
    <t>2035 (4)</t>
  </si>
  <si>
    <t xml:space="preserve">S1&amp;2 Emission Reduction Limit </t>
  </si>
  <si>
    <t>90 - 95%</t>
  </si>
  <si>
    <t>Est. Production Increase Cost vs. Reference BF - BOF</t>
  </si>
  <si>
    <t>30%-85%</t>
  </si>
  <si>
    <t>Exhibit 2.15</t>
  </si>
  <si>
    <t xml:space="preserve">Reference of 400 for Avg BF - BOF, bottom of the range is the favourable location, top of the range is unfavourable </t>
  </si>
  <si>
    <t>65%-108%</t>
  </si>
  <si>
    <t>75%-118%</t>
  </si>
  <si>
    <t>88%-108%</t>
  </si>
  <si>
    <t>18%-43%</t>
  </si>
  <si>
    <t>23%-53%</t>
  </si>
  <si>
    <t>40%-73%</t>
  </si>
  <si>
    <t>35%-63%</t>
  </si>
  <si>
    <t>NA</t>
  </si>
  <si>
    <t>8%-13%</t>
  </si>
  <si>
    <t>Production cost increase
for low-emission
production today</t>
  </si>
  <si>
    <t>+ 40 – 70%</t>
  </si>
  <si>
    <t>Average range from Technology @Est. Production Increase Cost" values for summary slide</t>
  </si>
  <si>
    <t># of Projects Globally Today Online</t>
  </si>
  <si>
    <t>Green Steel</t>
  </si>
  <si>
    <t># of Projects Globally Today Planned</t>
  </si>
  <si>
    <t>Share of Global Production Capacity</t>
  </si>
  <si>
    <t>&lt; 0.1%</t>
  </si>
  <si>
    <t xml:space="preserve">See GreenSteel Tracker </t>
  </si>
  <si>
    <t xml:space="preserve">sum up capacity from online projects and divide by total production </t>
  </si>
  <si>
    <t xml:space="preserve">Estimated 2050 Production </t>
  </si>
  <si>
    <t>page 13</t>
  </si>
  <si>
    <t>CCS based processes</t>
  </si>
  <si>
    <t>28-34%</t>
  </si>
  <si>
    <t>MPP Dashboard</t>
  </si>
  <si>
    <t xml:space="preserve">870 MT for tech moratorium scenario </t>
  </si>
  <si>
    <r>
      <t>DRI – Green H</t>
    </r>
    <r>
      <rPr>
        <vertAlign val="subscript"/>
        <sz val="9"/>
        <color rgb="FF000000"/>
        <rFont val="Arial"/>
        <family val="2"/>
      </rPr>
      <t xml:space="preserve">2 </t>
    </r>
    <r>
      <rPr>
        <sz val="9"/>
        <color rgb="FF000000"/>
        <rFont val="Arial"/>
        <family val="2"/>
      </rPr>
      <t>based processes</t>
    </r>
  </si>
  <si>
    <t>23-28%</t>
  </si>
  <si>
    <t xml:space="preserve">710 MT for tech moratorium scenario </t>
  </si>
  <si>
    <t>Electro–chemical based processes</t>
  </si>
  <si>
    <t xml:space="preserve">0MT for tech moratorium scenario </t>
  </si>
  <si>
    <t>EAF with green power</t>
  </si>
  <si>
    <t>38%-41%</t>
  </si>
  <si>
    <t>970 MT for tech moratorium scenario</t>
  </si>
  <si>
    <t>Low CO2 Power Gen.</t>
  </si>
  <si>
    <t xml:space="preserve">Carbon Cost </t>
  </si>
  <si>
    <t>TWh/ year</t>
  </si>
  <si>
    <t>use 2050 values</t>
  </si>
  <si>
    <t>Capex / Unit</t>
  </si>
  <si>
    <t>Bn / GW</t>
  </si>
  <si>
    <t>IRENA</t>
  </si>
  <si>
    <t>Renewable Power Generation Costs in 2022 (irena.org)</t>
  </si>
  <si>
    <t>Page 15</t>
  </si>
  <si>
    <t>Based on blending IRENA costs using today's generation mix as weights</t>
  </si>
  <si>
    <t>Today's generation mix</t>
  </si>
  <si>
    <t>Table A.3c</t>
  </si>
  <si>
    <t>CAPEX / Unit for nuclear</t>
  </si>
  <si>
    <t>Bn USD / GW</t>
  </si>
  <si>
    <t>NEA</t>
  </si>
  <si>
    <t xml:space="preserve">https://www.oecd-nea.org/upload/docs/application/pdf/2020-07/7530-reducing-cost-nuclear-construction.pdf </t>
  </si>
  <si>
    <t>page 30</t>
  </si>
  <si>
    <t>overnight capital cost of 4500 / Kwe</t>
  </si>
  <si>
    <t>Investments required in low CO2 power generation (Upper)</t>
  </si>
  <si>
    <t>Bn</t>
  </si>
  <si>
    <t>Low CO2 Hydrogen Production</t>
  </si>
  <si>
    <t xml:space="preserve">Tech Moratorium </t>
  </si>
  <si>
    <t xml:space="preserve">120 MJ / kg for H2 </t>
  </si>
  <si>
    <t>TWh / year</t>
  </si>
  <si>
    <t xml:space="preserve">MTPA </t>
  </si>
  <si>
    <t>Exhibit 18</t>
  </si>
  <si>
    <t>Investments required in low CO2 hydrogen production (Upper)</t>
  </si>
  <si>
    <t xml:space="preserve">Only used carbon cost scenario </t>
  </si>
  <si>
    <t>Investments required in low CO2 hydrogen production (lower)</t>
  </si>
  <si>
    <t>CAPEX / Unit (Upper)</t>
  </si>
  <si>
    <t xml:space="preserve">Bn USD / MT </t>
  </si>
  <si>
    <t>BNEF</t>
  </si>
  <si>
    <t>From data provided by BNEF</t>
  </si>
  <si>
    <t>CAPEX / Unit (lower)</t>
  </si>
  <si>
    <t>CO2 Transport &amp; Storage</t>
  </si>
  <si>
    <t>Carbon Capture Capacity Range (beyond 2050)</t>
  </si>
  <si>
    <t>page 8</t>
  </si>
  <si>
    <t xml:space="preserve">Tech Moratorium Scenario </t>
  </si>
  <si>
    <t xml:space="preserve">Carbon Capture Capacity Range (beyond 2050) Carbon Cost </t>
  </si>
  <si>
    <t>Carbon Cost</t>
  </si>
  <si>
    <t>High Cost</t>
  </si>
  <si>
    <t>USD Bn</t>
  </si>
  <si>
    <t>Low Cost</t>
  </si>
  <si>
    <t>USD Mn / MTPA</t>
  </si>
  <si>
    <t>Global CCS Institute</t>
  </si>
  <si>
    <t>globalccsinstitute.com/wp-content/uploads/2021/04/CCS-Tech-and-Costs.pdf</t>
  </si>
  <si>
    <t>Figure 17</t>
  </si>
  <si>
    <t xml:space="preserve">US based figures, higher end of transport pipeline + CO2 injection and storage </t>
  </si>
  <si>
    <t>CAPEX / Unit (Lower)</t>
  </si>
  <si>
    <t xml:space="preserve">US based figures </t>
  </si>
  <si>
    <t xml:space="preserve">Today's Market Share </t>
  </si>
  <si>
    <t>Greensteel Tracker</t>
  </si>
  <si>
    <t>See Green Steel tab, and technology slide.</t>
  </si>
  <si>
    <t>Estimated Green Premium Range</t>
  </si>
  <si>
    <t>MPP-Steel-Transition-Strategy-Oct-2021.pdf (missionpossiblepartnership.org)</t>
  </si>
  <si>
    <t>Based on average of all technologies maturing by 2028 excluding BECCS</t>
  </si>
  <si>
    <t>Page 33</t>
  </si>
  <si>
    <t>Crude Steel Market Price</t>
  </si>
  <si>
    <t xml:space="preserve">USD / T </t>
  </si>
  <si>
    <t>US Midwest Domestic Hot-Rolled Coil Steel Futures Historical Prices - Investing.com</t>
  </si>
  <si>
    <t>2022 Steel Production</t>
  </si>
  <si>
    <t>From Performance tracker</t>
  </si>
  <si>
    <t>Crude Steel Market Value</t>
  </si>
  <si>
    <t xml:space="preserve">Bn USD </t>
  </si>
  <si>
    <t>Additional Cost for Low CO2 Market</t>
  </si>
  <si>
    <t>Estimated Green Premium to End Consumers in 2030 Passenger cars</t>
  </si>
  <si>
    <t>page 58</t>
  </si>
  <si>
    <t>Estimated Green Premium to End Consumers in 2030 Buildings</t>
  </si>
  <si>
    <t>ETC</t>
  </si>
  <si>
    <t>Estimated Green Premium to End Consumers in 2030 Wind turbines</t>
  </si>
  <si>
    <t>Steeling Demand: Mobilising buyers to bring net-zero steel to market before 2030 (energy-transitions.org)</t>
  </si>
  <si>
    <t>Page 21</t>
  </si>
  <si>
    <t>Estimated Green Premium to End Consumers in 2030 White goods</t>
  </si>
  <si>
    <t>Estimated Cost of car</t>
  </si>
  <si>
    <t>USD</t>
  </si>
  <si>
    <t>Policies</t>
  </si>
  <si>
    <t>Refer to "Sum" Table 13</t>
  </si>
  <si>
    <t>tCO2/t</t>
  </si>
  <si>
    <t>Investing.com</t>
  </si>
  <si>
    <t xml:space="preserve">Carbon Price </t>
  </si>
  <si>
    <t xml:space="preserve">Direct Carbon Prices </t>
  </si>
  <si>
    <t xml:space="preserve">China </t>
  </si>
  <si>
    <t>1.1 - 4.6</t>
  </si>
  <si>
    <t xml:space="preserve">USD / T CO2 </t>
  </si>
  <si>
    <t xml:space="preserve">World Bank </t>
  </si>
  <si>
    <t xml:space="preserve">Different states </t>
  </si>
  <si>
    <t xml:space="preserve">EU </t>
  </si>
  <si>
    <t xml:space="preserve">US </t>
  </si>
  <si>
    <t>0 - 18</t>
  </si>
  <si>
    <t xml:space="preserve">Japan </t>
  </si>
  <si>
    <t>Low CO2 production</t>
  </si>
  <si>
    <t>2021 Production</t>
  </si>
  <si>
    <t>Bt</t>
  </si>
  <si>
    <t xml:space="preserve">High CO2 Production </t>
  </si>
  <si>
    <t xml:space="preserve">Assumption that the remaining is high carbon production </t>
  </si>
  <si>
    <t xml:space="preserve">Number of Plants </t>
  </si>
  <si>
    <t>Investment Required to Transform</t>
  </si>
  <si>
    <t>CAPEX/ Unit (Lower)</t>
  </si>
  <si>
    <t>Mn USD / MT</t>
  </si>
  <si>
    <t xml:space="preserve">Page 20 </t>
  </si>
  <si>
    <t>Mn USD/ MT</t>
  </si>
  <si>
    <t>Total CAPEX required (Lower)</t>
  </si>
  <si>
    <t>Total Industry</t>
  </si>
  <si>
    <t>S&amp;P Global</t>
  </si>
  <si>
    <t>Based on 5 year average</t>
  </si>
  <si>
    <t>EBITDA %</t>
  </si>
  <si>
    <t>Refinitiv</t>
  </si>
  <si>
    <t>Profitability</t>
  </si>
  <si>
    <t>Annual Debt Issued</t>
  </si>
  <si>
    <t>WACC</t>
  </si>
  <si>
    <t>NYU Stern</t>
  </si>
  <si>
    <t>https://pages.stern.nyu.edu/~adamodar/New_Home_Page/datafile/wacc.html</t>
  </si>
  <si>
    <t xml:space="preserve">Cost of equity and capital </t>
  </si>
  <si>
    <t xml:space="preserve">Credit Rating </t>
  </si>
  <si>
    <t>BBB+</t>
  </si>
  <si>
    <t xml:space="preserve">ESG rating </t>
  </si>
  <si>
    <t>End</t>
  </si>
  <si>
    <t>World Economic Forum - Net-Zero Industry Tracker 2023</t>
  </si>
  <si>
    <t>Cement - Performance Data</t>
  </si>
  <si>
    <t>What cement emits, captures &amp; offsets</t>
  </si>
  <si>
    <t>GCCA</t>
  </si>
  <si>
    <t>https://gccassociation.org/concretefuture/wp-content/uploads/2022/10/GCCA-Concrete-Future-Roadmap-Document-AW-2022.pdf</t>
  </si>
  <si>
    <t>page 24</t>
  </si>
  <si>
    <t xml:space="preserve">Include recarbonation CO2 sink </t>
  </si>
  <si>
    <t>0.7 - 0.8</t>
  </si>
  <si>
    <t>Industry Tracker</t>
  </si>
  <si>
    <t>https://industry-tracker.org/research-analysis/net-zero-in-a-binder/</t>
  </si>
  <si>
    <t>Figure 10</t>
  </si>
  <si>
    <t>https://www.iea.org/reports/cement</t>
  </si>
  <si>
    <t>USGS</t>
  </si>
  <si>
    <t>Clinker</t>
  </si>
  <si>
    <t>Reduced emission prod.</t>
  </si>
  <si>
    <t>&lt;1</t>
  </si>
  <si>
    <t>Table A4 &amp; table A5</t>
  </si>
  <si>
    <t>Below 0.44 t CO2e / t</t>
  </si>
  <si>
    <t>Low emission prod.</t>
  </si>
  <si>
    <t>Below 0.03t CO2e / t</t>
  </si>
  <si>
    <t xml:space="preserve">Global Average </t>
  </si>
  <si>
    <t>tCO2e / t</t>
  </si>
  <si>
    <t>Chart: Direct CO2 intensity of cement production in the Net Zero Scenario, 2015-2030</t>
  </si>
  <si>
    <t xml:space="preserve">Production Energy Intensity </t>
  </si>
  <si>
    <t xml:space="preserve">GJ / T of cement </t>
  </si>
  <si>
    <t>Clinker production emission intensity + electricity intensity of cement production at 105Kwh/tonne of cement (0.378 GJ/tonne of cement)</t>
  </si>
  <si>
    <t>Clinker Production</t>
  </si>
  <si>
    <t>Multiply clinker ratio by energy intensity of clinker to get energy intensity of cement, 3.4 - 3.5 per tonne of clinker</t>
  </si>
  <si>
    <t>Emission intensity of Clinker</t>
  </si>
  <si>
    <t>Clinker to Cement Ratio</t>
  </si>
  <si>
    <t>3.5 GJ / t of clinker - multiplied by tonnes of clinker</t>
  </si>
  <si>
    <t>Coal &amp; Petcoke</t>
  </si>
  <si>
    <t>Non-renewable waste</t>
  </si>
  <si>
    <t>Renewable waste</t>
  </si>
  <si>
    <t>https://www.iea.org/data-and-statistics/charts/global-thermal-energy-intensity-and-fuel-consumption-of-clinker-production-in-the-net-zero-scenario-2015-2030</t>
  </si>
  <si>
    <t>Global thermal energy intensity and fuel consumption of clinker production in the Net Zero Scenario, 2015-2030</t>
  </si>
  <si>
    <t xml:space="preserve">Subtract 15% for natural gas to get remainder for coal &amp; petcoke </t>
  </si>
  <si>
    <t>page 127</t>
  </si>
  <si>
    <t>Weighted average of fuel intensities with fuel use as weights. For coal and petcoke, average fuel intensity used</t>
  </si>
  <si>
    <t>Petcoke</t>
  </si>
  <si>
    <t>Average of municipal waste, tire-derived oil, waste oil - divide kg/mmbtu by 1.0551 to get kg/GJ</t>
  </si>
  <si>
    <t xml:space="preserve">Biomass </t>
  </si>
  <si>
    <t>Renewable waste hence the assumption of 0</t>
  </si>
  <si>
    <t>Bioenergy with CCUS</t>
  </si>
  <si>
    <t>Bioenergy without CCUS</t>
  </si>
  <si>
    <t>2022 Cement Production</t>
  </si>
  <si>
    <t>2050 Business-As-Usual Production</t>
  </si>
  <si>
    <t>Estimated based on 43% increase in concrete demand</t>
  </si>
  <si>
    <t>2050 Net Zero Cement Production</t>
  </si>
  <si>
    <t>Page 96</t>
  </si>
  <si>
    <t>Cement - Readiness Data</t>
  </si>
  <si>
    <t>2025 - 2030 (6 – 9)</t>
  </si>
  <si>
    <t>ECRA</t>
  </si>
  <si>
    <t>https://ecra-online.org/research/technology-papers/</t>
  </si>
  <si>
    <t>Page 162</t>
  </si>
  <si>
    <t>2040 (5)</t>
  </si>
  <si>
    <t>2040 (4)</t>
  </si>
  <si>
    <t>page 25</t>
  </si>
  <si>
    <t>Emission Reduction Limit</t>
  </si>
  <si>
    <t>Page 158</t>
  </si>
  <si>
    <t>40-50%</t>
  </si>
  <si>
    <t>https://medium.com/@heirloomcarbon/electric-kilns-how-an-old-technology-is-key-to-our-climate-future-1690bd9e5cfc</t>
  </si>
  <si>
    <t>Est. Production Increase Cost vs. Reference  plant</t>
  </si>
  <si>
    <t>+ 60 – 100%</t>
  </si>
  <si>
    <t>Page 149</t>
  </si>
  <si>
    <t>https://co2re.co/</t>
  </si>
  <si>
    <t>https://www.iea.org/articles/etp-clean-energy-technology-guide</t>
  </si>
  <si>
    <t>&lt;1%</t>
  </si>
  <si>
    <t>&lt; 1%</t>
  </si>
  <si>
    <t>Figure 3.19</t>
  </si>
  <si>
    <t>1355 Mt of CO2 captured, comparable to GCCA figures of 1370</t>
  </si>
  <si>
    <t xml:space="preserve">Co-use with CCS </t>
  </si>
  <si>
    <t>Capacity Required</t>
  </si>
  <si>
    <t xml:space="preserve"> GW</t>
  </si>
  <si>
    <t>Electricity requirement</t>
  </si>
  <si>
    <t>TWh/year</t>
  </si>
  <si>
    <t>Table A.3</t>
  </si>
  <si>
    <t xml:space="preserve">Total Investments (Upper) </t>
  </si>
  <si>
    <t>Low Emission Hydrogen Production</t>
  </si>
  <si>
    <t>IEA World Energy Outlook 2022</t>
  </si>
  <si>
    <t>Page 143</t>
  </si>
  <si>
    <t>5% of 11EJ energy requirment is Hydrogen. Using calorific value of 120MJ/Kg, converted into capacity terms</t>
  </si>
  <si>
    <t>Investment required (Upper)</t>
  </si>
  <si>
    <t>Rounded off to 140 in tracker</t>
  </si>
  <si>
    <t>Investment required (Lower)</t>
  </si>
  <si>
    <t>Carbon Capture Cost High</t>
  </si>
  <si>
    <t>https://cmc.nt.gov.au/__data/assets/pdf_file/0006/1052898/q20-0114-gccsi-nt-css-hub-study-final-report.pdf</t>
  </si>
  <si>
    <t xml:space="preserve">Based on range of different options, cheapest option selected and adjusted for 20% length of pipe - </t>
  </si>
  <si>
    <t>Carbon Capture Cost Low</t>
  </si>
  <si>
    <t>Based on range of different options,  cheapest option in the most expensive scenario selected with increase in 20% length of pipe -</t>
  </si>
  <si>
    <t>Green Premium per tonne of Cement</t>
  </si>
  <si>
    <t>Estimated Green Premium (Lower)</t>
  </si>
  <si>
    <t>USD / T</t>
  </si>
  <si>
    <t>50% From technology section</t>
  </si>
  <si>
    <t>Estimated Green Premium (Upper)</t>
  </si>
  <si>
    <t>85% From technology section</t>
  </si>
  <si>
    <t>Market Price</t>
  </si>
  <si>
    <t>Market size divided by production</t>
  </si>
  <si>
    <t>Market Value</t>
  </si>
  <si>
    <t>https://www.fortunebusinessinsights.com/industry-reports/cement-market-101825</t>
  </si>
  <si>
    <t>Add. Cost for 100% Low CO2 Market (Lower)</t>
  </si>
  <si>
    <t>Add. Cost for 100% Low CO2 Market (Upper)</t>
  </si>
  <si>
    <t>B2C green premium for houses</t>
  </si>
  <si>
    <t>1 - 3%</t>
  </si>
  <si>
    <t>Bloomberg</t>
  </si>
  <si>
    <t>bloomberg.com/graphics/2021-us-housing-construction-costs/</t>
  </si>
  <si>
    <t>32k / 950k is the higher bound for cement costs, but factoring in labour for the foundation, sand, it may be lower</t>
  </si>
  <si>
    <t>B2C green premium for concrete</t>
  </si>
  <si>
    <t>5 - 9%</t>
  </si>
  <si>
    <t>Assumption from interview with industry</t>
  </si>
  <si>
    <t>USD / tCO2</t>
  </si>
  <si>
    <t>Low Co2 production</t>
  </si>
  <si>
    <t>Capacity</t>
  </si>
  <si>
    <t>&lt;0.1</t>
  </si>
  <si>
    <t>Bn T of cement</t>
  </si>
  <si>
    <t>Number of Plants</t>
  </si>
  <si>
    <t xml:space="preserve">High Co2 Production </t>
  </si>
  <si>
    <t>Basis Production</t>
  </si>
  <si>
    <t>Taking oxyfuel technology as reference</t>
  </si>
  <si>
    <t>Rounded off to 500 in tracker</t>
  </si>
  <si>
    <t xml:space="preserve">Total Industry </t>
  </si>
  <si>
    <t>Net PPE</t>
  </si>
  <si>
    <t>https://www.stern.nyu.edu/~adamodar/New_Home_Page/data.html</t>
  </si>
  <si>
    <t>Aluminium - Performance Data</t>
  </si>
  <si>
    <t>What aluminium emits, captures &amp; offsets</t>
  </si>
  <si>
    <t>Previous year Value</t>
  </si>
  <si>
    <t>IAI</t>
  </si>
  <si>
    <t>Greenhouse Gas Emissions - Aluminium Sector - International Aluminium Institute (international-aluminium.org)</t>
  </si>
  <si>
    <t>Scope 1 &amp; 2</t>
  </si>
  <si>
    <t xml:space="preserve">Cradle to Gate - S1 - S2 </t>
  </si>
  <si>
    <t>MTCO2e</t>
  </si>
  <si>
    <t>Co2re</t>
  </si>
  <si>
    <t>https://co2re.co/FacilityData</t>
  </si>
  <si>
    <t>https://international-aluminium.org/statistics/primary-aluminium-production/</t>
  </si>
  <si>
    <t>Assuming 34% recycling rate</t>
  </si>
  <si>
    <t>Reduced Emission Primary Production</t>
  </si>
  <si>
    <t>20211012-ASI-GHG-Validation-Report_v2.0_GENERIC.pdf (aluminium-stewardship.org)</t>
  </si>
  <si>
    <t>Page 37-39</t>
  </si>
  <si>
    <t>Low-Emission Primary Production</t>
  </si>
  <si>
    <t>https://aluminium-stewardship.org/wp-content/uploads/2021/10/20211012-ASI-GHG-Validation-Report_v2.0_GENERIC.pdf</t>
  </si>
  <si>
    <t>Reduced Emission Secondary Production</t>
  </si>
  <si>
    <t>Low-Emission Secondary Production</t>
  </si>
  <si>
    <t>Scrap Recycling Rate</t>
  </si>
  <si>
    <t>Global average</t>
  </si>
  <si>
    <t>Weighted Average by % of production</t>
  </si>
  <si>
    <t>10th Percentile (Primary only)</t>
  </si>
  <si>
    <t>Primary Refining &amp; Smelting</t>
  </si>
  <si>
    <t>https://international-aluminium.org/statistics/greenhouse-gas-emissions-intensity-primary-aluminium/</t>
  </si>
  <si>
    <t xml:space="preserve">Secondary Smelting </t>
  </si>
  <si>
    <t>Making-1.5-Aligned-Aluminium-possible.pdf (missionpossiblepartnership.org)</t>
  </si>
  <si>
    <t>exhibit 1.2</t>
  </si>
  <si>
    <t>https://international-aluminium.org/statistics/metallurgical-alumina-refining-energy-intensity/
https://international-aluminium.org/statistics/primary-aluminium-smelting-energy-intensity/</t>
  </si>
  <si>
    <t>Add smelting intensity + refining intensity</t>
  </si>
  <si>
    <t>kg CO2e / GJ</t>
  </si>
  <si>
    <t xml:space="preserve">Weighted Average using fuel use </t>
  </si>
  <si>
    <t>Renewable Electricity</t>
  </si>
  <si>
    <t>https://www.iea.org/reports/tracking-power-2021</t>
  </si>
  <si>
    <t>Power mix - Smelting</t>
  </si>
  <si>
    <t>GWH</t>
  </si>
  <si>
    <t>Primary Aluminium Smelting Power Consumption - International Aluminium Institute (international-aluminium.org)</t>
  </si>
  <si>
    <t>Renewables</t>
  </si>
  <si>
    <t>2050 Net-Zero Smelting Power Mix</t>
  </si>
  <si>
    <t>Captive power with CCUS</t>
  </si>
  <si>
    <t>Nuclear Power</t>
  </si>
  <si>
    <t>Hydropower</t>
  </si>
  <si>
    <t xml:space="preserve">Either 1  / 3 / 4 </t>
  </si>
  <si>
    <t>Category 1</t>
  </si>
  <si>
    <t>Category 3</t>
  </si>
  <si>
    <t>2022 Aluminium Production</t>
  </si>
  <si>
    <t>Refer link for geographical breakdown</t>
  </si>
  <si>
    <t>2022 Average Recycled content</t>
  </si>
  <si>
    <t>2050 IAI Business-As-Usual Production</t>
  </si>
  <si>
    <t>Average Recycled content</t>
  </si>
  <si>
    <t>2050 IAI 1.5 Deg Scenario</t>
  </si>
  <si>
    <t xml:space="preserve">exhibit E </t>
  </si>
  <si>
    <t>Based on IAI scenarios</t>
  </si>
  <si>
    <t>Aluminium - Readiness Data</t>
  </si>
  <si>
    <t xml:space="preserve">Sectoral Emissions </t>
  </si>
  <si>
    <t>S1 &amp; S2 Electricity for Smelting</t>
  </si>
  <si>
    <t>Chemical Process for Smelting</t>
  </si>
  <si>
    <t xml:space="preserve"> </t>
  </si>
  <si>
    <t>TRL in Aluminium</t>
  </si>
  <si>
    <t>Hydrogen calciners</t>
  </si>
  <si>
    <t>2030(4-5)</t>
  </si>
  <si>
    <t>2030 (2 – 3)</t>
  </si>
  <si>
    <t>Available (9)</t>
  </si>
  <si>
    <t>Unknown (4 – 5)</t>
  </si>
  <si>
    <t>MPP-Aluminium-Technical-Appendix.pdf (missionpossiblepartnership.org)</t>
  </si>
  <si>
    <t>2027 (7)</t>
  </si>
  <si>
    <t>Available (9 – 11)</t>
  </si>
  <si>
    <t>2030 (7)</t>
  </si>
  <si>
    <t>2030 (4 – 5)</t>
  </si>
  <si>
    <t>page 29;35</t>
  </si>
  <si>
    <t>2030 (3-4)</t>
  </si>
  <si>
    <t>2030 (3 – 4)</t>
  </si>
  <si>
    <t>Cradle to Gate Emission Reduction Limit</t>
  </si>
  <si>
    <t>Exhibit 1.3</t>
  </si>
  <si>
    <t>Thermal energy emissions</t>
  </si>
  <si>
    <t>Assuming 75% of thermal emissions from low and mid-heat process</t>
  </si>
  <si>
    <t>Assuming 70% of thermal energy emissions can be addressed by MVR</t>
  </si>
  <si>
    <t xml:space="preserve">62% (Electrical Energy) </t>
  </si>
  <si>
    <t>9% process emissions + 4% non-CO2 GHG emissions</t>
  </si>
  <si>
    <t>3%  of Process Emissions &amp; 3% of Thermal</t>
  </si>
  <si>
    <t>~9% of process emissions</t>
  </si>
  <si>
    <t>Est. Production Increase Cost vs. Reference aluminium plant</t>
  </si>
  <si>
    <t>Unknown</t>
  </si>
  <si>
    <t>25% cost increase on alumina; alumina = 30% cost of aluminium; 8% increase</t>
  </si>
  <si>
    <t>20% cost increase on alumina; alumina = 30% cost of aluminium; 6% increase</t>
  </si>
  <si>
    <t>exhibit 2.11</t>
  </si>
  <si>
    <t>150/1400 ; 150 - low cost alumina based on MRV , 1400 - total</t>
  </si>
  <si>
    <t>Renewbles and hydro are cost competitive in many locations. Fossil with CCUS comes with 30% cost increase</t>
  </si>
  <si>
    <t xml:space="preserve">Cost – Competitive </t>
  </si>
  <si>
    <t>450/1400 ; 450 - transition cost to renewable. 1400 - total cost</t>
  </si>
  <si>
    <t>Unknown (USD 110 per T of aluminium is competitive )</t>
  </si>
  <si>
    <t>125/1400 ; 450 - anode cost . 1400 - total cost</t>
  </si>
  <si>
    <t>34-38%</t>
  </si>
  <si>
    <t>Accenture analysis</t>
  </si>
  <si>
    <t>Carbon captured 1.6 (1.4/0.9), cost of carbon capture $300/tCO2. Cost increase = 300 *1.6 = 480, increase = 480/1400 or 480/1250</t>
  </si>
  <si>
    <t>Exhibit 2.6</t>
  </si>
  <si>
    <t>~ 8 MT</t>
  </si>
  <si>
    <t>Exhibit C</t>
  </si>
  <si>
    <t>Exhibit 2.5</t>
  </si>
  <si>
    <t>AFC</t>
  </si>
  <si>
    <t>Closing-the-Gap-for-Aluminium-Emissions.pdf (missionpossiblepartnership.org)</t>
  </si>
  <si>
    <t>&gt; 2 MT</t>
  </si>
  <si>
    <t>Woodmac</t>
  </si>
  <si>
    <t>https://www.woodmac.com/press-releases/carbon-neutrality-goal-forces-chinese-aluminium-smelters-away-from-captive-coal-power/</t>
  </si>
  <si>
    <t>10  – 15%</t>
  </si>
  <si>
    <t>Production Cost Increase</t>
  </si>
  <si>
    <t xml:space="preserve">Secondary </t>
  </si>
  <si>
    <t>Calculated</t>
  </si>
  <si>
    <t>Decarbonization of electricity Capacity Required Smelting</t>
  </si>
  <si>
    <t>Share of electricity from grid / PPA</t>
  </si>
  <si>
    <t xml:space="preserve">2050 New Built Aluminium Capacity </t>
  </si>
  <si>
    <t xml:space="preserve">Assuming current asset base does not change even though there will be retirements </t>
  </si>
  <si>
    <t>Percentage of power which need further decarbonization</t>
  </si>
  <si>
    <t>Adding hydro and other</t>
  </si>
  <si>
    <t>32.54% of power for smelting is carbon free already</t>
  </si>
  <si>
    <t xml:space="preserve">2050 Old Aluminium Capacity to be decarbonized </t>
  </si>
  <si>
    <t>Total 2050 Capacity to be decarbonized</t>
  </si>
  <si>
    <t xml:space="preserve">Electricity Capacity </t>
  </si>
  <si>
    <t>GWH / T</t>
  </si>
  <si>
    <t>Primary Aluminium Smelting Energy Intensity - International Aluminium Institute (international-aluminium.org)</t>
  </si>
  <si>
    <t>Decarbonization of electricity Capacity Required for Smelting</t>
  </si>
  <si>
    <t>Decarbonization of electricity Capacity Required Secondary Aluminium</t>
  </si>
  <si>
    <t>Capacity Factor</t>
  </si>
  <si>
    <t>Calculated based on renewables &amp; nuclear potential generation vs actual generation</t>
  </si>
  <si>
    <t>Investments required in low CO2 power generation</t>
  </si>
  <si>
    <t>Energy required in Refining (coal, oil, gas)</t>
  </si>
  <si>
    <t>TJ</t>
  </si>
  <si>
    <t>Metallurgical Alumina Refining Fuel Consumption - International Aluminium Institute (international-aluminium.org)</t>
  </si>
  <si>
    <t xml:space="preserve">Metallurgical Alumina Refining Fuel Consumption data for coil , oil and gas </t>
  </si>
  <si>
    <t>Hydrogen gas to replace above energy use</t>
  </si>
  <si>
    <t>2050 production</t>
  </si>
  <si>
    <t>CO2 Storage</t>
  </si>
  <si>
    <t>Calculated using AFC &amp; IAI for smelting process emissions only assuming 90% efficiency of CCUS</t>
  </si>
  <si>
    <t>Total CO2 Emissions From Primary Aluminium</t>
  </si>
  <si>
    <t>Greenhouse Gas Emissions Intensity- Primary Aluminium - International Aluminium Institute (international-aluminium.org)</t>
  </si>
  <si>
    <t>primary aluminium total cradle - perflouro carbon direct</t>
  </si>
  <si>
    <t>Total Investment Required (Lower)</t>
  </si>
  <si>
    <t>Total Investment Required (Upper)</t>
  </si>
  <si>
    <t xml:space="preserve">Low-Emission production Market Share </t>
  </si>
  <si>
    <t>Based on current production data from CRU</t>
  </si>
  <si>
    <t xml:space="preserve">Green Premium </t>
  </si>
  <si>
    <t>Insee (National Institute of Statistics and Economic Studies)</t>
  </si>
  <si>
    <t>https://www.insee.fr/en/statistiques/serie/010002041</t>
  </si>
  <si>
    <t>Average price for 2022</t>
  </si>
  <si>
    <t xml:space="preserve">BY calculation </t>
  </si>
  <si>
    <t>Green Premium for low carbon aluminium</t>
  </si>
  <si>
    <t>USD/T</t>
  </si>
  <si>
    <t>Estimated Green Premium</t>
  </si>
  <si>
    <t>Cost of car</t>
  </si>
  <si>
    <t>Aluminium in car</t>
  </si>
  <si>
    <t>kg</t>
  </si>
  <si>
    <t>https://european-aluminium.eu/wp-content/uploads/2023/05/23-05-02-European-Aluminium_PR_Aluminium-Usage-in-Cars-Surges-as-Automotive-Industry-Shifts-Towards-Electrification.pdf</t>
  </si>
  <si>
    <t>Green Premium</t>
  </si>
  <si>
    <t xml:space="preserve">Cost of a can </t>
  </si>
  <si>
    <t>Amazon.com : Pepsi Cola, 12 Fl Oz Cans, 12 Pack : Soda Soft Drinks : Grocery &amp; Gourmet Food</t>
  </si>
  <si>
    <t>Amazon</t>
  </si>
  <si>
    <t xml:space="preserve">Aluminium in a can </t>
  </si>
  <si>
    <t>grams</t>
  </si>
  <si>
    <t>everycancounts</t>
  </si>
  <si>
    <t>https://everycancounts.eu/can-recycling/</t>
  </si>
  <si>
    <t>Major producers and consumers of Aluminium</t>
  </si>
  <si>
    <t>Highest Carbon Abatement Cost Requirements</t>
  </si>
  <si>
    <t>CCUS in smelting</t>
  </si>
  <si>
    <t>Max abatement</t>
  </si>
  <si>
    <t xml:space="preserve">Abatement </t>
  </si>
  <si>
    <t>28% of 16.1</t>
  </si>
  <si>
    <t>Cost of Abatement/Green Premium</t>
  </si>
  <si>
    <t>Carbon Pricing Dashboard | Up-to-date overview of carbon pricing initiatives (worldbank.org)</t>
  </si>
  <si>
    <t>2020 Production</t>
  </si>
  <si>
    <t xml:space="preserve">To be changed in line with net zero </t>
  </si>
  <si>
    <t>Captive electric capacity to decarbonize</t>
  </si>
  <si>
    <t>CAPEX/ Unit for inert anodes retrofit in smelting</t>
  </si>
  <si>
    <t>Bn $/MT</t>
  </si>
  <si>
    <t>MPP Technical Appendix</t>
  </si>
  <si>
    <t>Page 12</t>
  </si>
  <si>
    <t>CAPEX/unit for captive power + CCS</t>
  </si>
  <si>
    <t>M $/MW</t>
  </si>
  <si>
    <t>Total CAPEX for inert anodes retrofit in smelting</t>
  </si>
  <si>
    <t>Bn $</t>
  </si>
  <si>
    <t>Total CAPEX for captive power + CCS</t>
  </si>
  <si>
    <t xml:space="preserve">Total Industry (Fertilizer) </t>
  </si>
  <si>
    <t>Industry average for chemicals(basic)</t>
  </si>
  <si>
    <t>Taken from source</t>
  </si>
  <si>
    <t>Energy From Coal</t>
  </si>
  <si>
    <t>Adding Alumina production and smelting power consumption numbers</t>
  </si>
  <si>
    <t>Energy From Oil</t>
  </si>
  <si>
    <t>Energy From Gas</t>
  </si>
  <si>
    <t>Energy from Renewables</t>
  </si>
  <si>
    <t>Energy from other</t>
  </si>
  <si>
    <t xml:space="preserve">Energy from Oil </t>
  </si>
  <si>
    <t>Energy from Gas</t>
  </si>
  <si>
    <t xml:space="preserve">sum cradle to gate emissions / total production - same as emission intensity </t>
  </si>
  <si>
    <t>2019 Aluminium Production</t>
  </si>
  <si>
    <t>2019 Average Recycled content</t>
  </si>
  <si>
    <t xml:space="preserve">Use green bond column </t>
  </si>
  <si>
    <t>Thermal Energy for Refining &amp; Smelting</t>
  </si>
  <si>
    <t xml:space="preserve">Technologies selected from AFC report, with the addition of electricity </t>
  </si>
  <si>
    <t xml:space="preserve">Look at the different wind &amp; solar to get the range </t>
  </si>
  <si>
    <t xml:space="preserve">CCUS (Process &amp; Thermal Energy) </t>
  </si>
  <si>
    <t>highest heat not reachable</t>
  </si>
  <si>
    <t>https://about.bnef.com/blog/green-aluminum-is-competitive-today-its-time-to-start-transforming/</t>
  </si>
  <si>
    <t>https://www.spglobal.com/platts/en/market-insights/latest-news/metals/072820-green-aluminum-market-to-take-off-in-2021-rusal</t>
  </si>
  <si>
    <t>AFC Unlocking Technological Scale-up</t>
  </si>
  <si>
    <t>N/A</t>
  </si>
  <si>
    <t>Based on 8 / 65</t>
  </si>
  <si>
    <t>From CCUS technology cost production increases</t>
  </si>
  <si>
    <t>1.5 Degrees Scenario: A Model To Drive Emissions Reduction - International Aluminium Institute (international-aluminium.org)</t>
  </si>
  <si>
    <t xml:space="preserve">Table 3: Production data </t>
  </si>
  <si>
    <t>Low CO2 Power Gen., T&amp;D</t>
  </si>
  <si>
    <t>33% of power for smelting is carbon free already</t>
  </si>
  <si>
    <t>Convert KWH to GWH by dividing by 10^6</t>
  </si>
  <si>
    <t>Renewable Power Generation Costs in 2020 (irena.org)</t>
  </si>
  <si>
    <t>Investments required in low CO2 power generation- Lower</t>
  </si>
  <si>
    <t>Accenture</t>
  </si>
  <si>
    <t>From work with WEF LCET and Accenture team, includes electricity generation</t>
  </si>
  <si>
    <t xml:space="preserve">From work with WEF LCET and Accenture team </t>
  </si>
  <si>
    <t>Calculated using AFC &amp; IAI for smelting only assuming 90% efficiency of CCUS</t>
  </si>
  <si>
    <t>Investing</t>
  </si>
  <si>
    <t>https://www.investing.com/commodities/aluminum-historical-data</t>
  </si>
  <si>
    <t>Average price for 2021</t>
  </si>
  <si>
    <t>https://www.european-aluminium.eu/about-aluminium/aluminium-in-use/automotive-and-transport/</t>
  </si>
  <si>
    <t>Rounded off  to 150</t>
  </si>
  <si>
    <t>Amazon.com : pepsi cans 12 pack</t>
  </si>
  <si>
    <t xml:space="preserve">Other Policies </t>
  </si>
  <si>
    <t xml:space="preserve">Aluminium Specific Policies </t>
  </si>
  <si>
    <t>Links</t>
  </si>
  <si>
    <t>General Policies</t>
  </si>
  <si>
    <t>Canada: Government investment of CAD40,000 in Alcoa Canada for an energy information system to enable GHG emissions reduction</t>
  </si>
  <si>
    <t>Canada Invests in Improving Energy Efficiency in Canadian Aluminium Sector - Canada.ca</t>
  </si>
  <si>
    <t>EU: General approach agreed for CBAM</t>
  </si>
  <si>
    <t>https://ec.europa.eu/commission/presscorner/detail/en/qanda_21_3661</t>
  </si>
  <si>
    <t>Australia: Government grant of AUD580,000 to assess hydrogen-fuelled calcination technology at Rio Tinto's Yarwun alumina refinery.</t>
  </si>
  <si>
    <t>Australian government support for hydrogen use in alumina refining – Policies - IEA</t>
  </si>
  <si>
    <t>US / EU: R&amp;D support for CCUS technologies</t>
  </si>
  <si>
    <t>https://ec.europa.eu/clima/eu-action/funding-climate-action/innovation-fund_en</t>
  </si>
  <si>
    <t>China: Pledged to cut carbon emissions from aluminium smelters under a five-year plan.</t>
  </si>
  <si>
    <t>China Vows to Cut Carbon Emissions From Aluminium by 5% by 2025 - Bloomberg</t>
  </si>
  <si>
    <t>US: Tax credit (IRS section 45Q)</t>
  </si>
  <si>
    <t>sgp.fas.org/crs/misc/IF11455.pdf</t>
  </si>
  <si>
    <t>Traceability and labelling of low-carbon and secondary aluminium (Aluminium Stewardship Initiative).</t>
  </si>
  <si>
    <t>EU: Carbon Certificate of Difference (under consideration)</t>
  </si>
  <si>
    <t>ec.europa.eu/info/sites/default/files/swd-annual-single-market-report-2021_en.pdf</t>
  </si>
  <si>
    <t>London Metal Exchange Passport is starting with aluminium to better define and differentiate low-carbon products.</t>
  </si>
  <si>
    <t>LME Launches Sustainability Register For Aluminium And Other Metals | Romco Metals</t>
  </si>
  <si>
    <t>China: Government tasked state-owned enterprises to cut their energy consumption by 15% and their carbon dioxide output by 18% by 2025.</t>
  </si>
  <si>
    <t>China calls on state firms to cut energy consumption amid carbon peak goals - The Economic Times (indiatimes.com)</t>
  </si>
  <si>
    <t>CAPEX/ Unit</t>
  </si>
  <si>
    <t xml:space="preserve">No data </t>
  </si>
  <si>
    <t>Total CAPEX</t>
  </si>
  <si>
    <t>Industry average for chemicals</t>
  </si>
  <si>
    <t>Use Refinitiv ratios here to standardize ratings</t>
  </si>
  <si>
    <t xml:space="preserve">Total ESG combined score out of 100 </t>
  </si>
  <si>
    <t>Taxonomy</t>
  </si>
  <si>
    <t>EU Taxonomy</t>
  </si>
  <si>
    <t>https://ec.europa.eu/sustainable-finance-taxonomy/activities/activity_en.htm?reference=3.9</t>
  </si>
  <si>
    <t>China green Bonds Endorsed Projects Catalogued</t>
  </si>
  <si>
    <t>http://www.pbc.gov.cn/goutongjiaoliu/113456/113469/4342400/2021091617180089879.pdf</t>
  </si>
  <si>
    <t>Climate bond initiative</t>
  </si>
  <si>
    <t>climatebonds.net/standard/sector-criteria</t>
  </si>
  <si>
    <t>MDBs-IDFC common Principles</t>
  </si>
  <si>
    <t>https://www.eib.org/attachments/documents/mdb_idfc_mitigation_common_principles_en.pdf</t>
  </si>
  <si>
    <t>Ammonia - Performance Data</t>
  </si>
  <si>
    <t>What ammonia emits, captures &amp; offsets</t>
  </si>
  <si>
    <t>https://www.iea.org/reports/chemicals</t>
  </si>
  <si>
    <t>box 2.5</t>
  </si>
  <si>
    <t xml:space="preserve">Scope 3 CO2 emissions </t>
  </si>
  <si>
    <t>page 9, box 2.5</t>
  </si>
  <si>
    <t xml:space="preserve">CO2 only </t>
  </si>
  <si>
    <t xml:space="preserve">Scope 3  non - CO2 emissions </t>
  </si>
  <si>
    <t>FAO</t>
  </si>
  <si>
    <t>https://www.fao.org/faostat/en/#data/GY</t>
  </si>
  <si>
    <t xml:space="preserve">Total Scope 3 </t>
  </si>
  <si>
    <t>Likely to be unreported</t>
  </si>
  <si>
    <t>Mt CO2e</t>
  </si>
  <si>
    <t>https://www.irena.org/publications/2022/May/Innovation-Outlook-Renewable-Ammonia</t>
  </si>
  <si>
    <t>Page 32</t>
  </si>
  <si>
    <t>From data provided by BNEF, lower range estimates</t>
  </si>
  <si>
    <t>Reduced CO2 emission</t>
  </si>
  <si>
    <t>Low CO2 Prod</t>
  </si>
  <si>
    <t>Assumption based on pilot projects</t>
  </si>
  <si>
    <t>Electrolysis With Renewables</t>
  </si>
  <si>
    <t>near zero</t>
  </si>
  <si>
    <t>Steam Methane Reforming</t>
  </si>
  <si>
    <t>Table 1.2</t>
  </si>
  <si>
    <t>Coal Gasification</t>
  </si>
  <si>
    <t>Sum GJ from electricity and feedstock</t>
  </si>
  <si>
    <t>page 26</t>
  </si>
  <si>
    <t>2050 Net-Zero Fuel Mix</t>
  </si>
  <si>
    <t>https://missionpossiblepartnership.org/wp-content/uploads/2022/09/Making-1.5-Aligned-Ammonia-possible.pdf</t>
  </si>
  <si>
    <t>Page 9</t>
  </si>
  <si>
    <t>2020 Ammonia Production</t>
  </si>
  <si>
    <t xml:space="preserve">MT </t>
  </si>
  <si>
    <t>Figure 2.5</t>
  </si>
  <si>
    <t>IEA 2050 BAU</t>
  </si>
  <si>
    <t>page 78</t>
  </si>
  <si>
    <t xml:space="preserve">Only total is available </t>
  </si>
  <si>
    <t>MPP 2050 NZE Production</t>
  </si>
  <si>
    <t xml:space="preserve">Nitrogen Fertilizer % of demand </t>
  </si>
  <si>
    <t>figure 1.4</t>
  </si>
  <si>
    <t xml:space="preserve">Industrial Application % of demand </t>
  </si>
  <si>
    <t>Ammonia - Readiness Data</t>
  </si>
  <si>
    <t>Today (8-11)</t>
  </si>
  <si>
    <t>113-114</t>
  </si>
  <si>
    <t>Unknown (5)</t>
  </si>
  <si>
    <t>2025 (7)</t>
  </si>
  <si>
    <t>S1 &amp; S2 Emission Reduction Limit vs Reference (SMR)</t>
  </si>
  <si>
    <t>- 80 – 90%</t>
  </si>
  <si>
    <t>- 100% (direct)</t>
  </si>
  <si>
    <t xml:space="preserve">Near zero </t>
  </si>
  <si>
    <t>Near zero</t>
  </si>
  <si>
    <t>Est. Production Increase Cost vs. Reference Route (SMR)</t>
  </si>
  <si>
    <t>+ 90 – 100%</t>
  </si>
  <si>
    <t>+ 100 – 132%</t>
  </si>
  <si>
    <t>- 80 –  +50%</t>
  </si>
  <si>
    <t xml:space="preserve">+ 40 – 120% </t>
  </si>
  <si>
    <t>Capacity of project globally today - Planned</t>
  </si>
  <si>
    <t>TBD</t>
  </si>
  <si>
    <t>SMR with CCS, ATR with CCS</t>
  </si>
  <si>
    <t>Grid Connected &amp; Dedicated VRE  Electrolysis</t>
  </si>
  <si>
    <t>MT of NH3</t>
  </si>
  <si>
    <t>3700 TWh of renewable electricity required</t>
  </si>
  <si>
    <t>Total Investment Required</t>
  </si>
  <si>
    <t xml:space="preserve">Capacity Required </t>
  </si>
  <si>
    <t xml:space="preserve">See technology slide - current production </t>
  </si>
  <si>
    <t>Average Green Premium</t>
  </si>
  <si>
    <t>Ammonia Market Price</t>
  </si>
  <si>
    <t>https://www.eia.gov/todayinenergy/detail.php?id=52358</t>
  </si>
  <si>
    <t>Estimated by taking average price of Jan 2020 ($300/ton) and Jan 2022 ($900/ton)</t>
  </si>
  <si>
    <t>Ammonia Market Value</t>
  </si>
  <si>
    <t xml:space="preserve">Mn USD </t>
  </si>
  <si>
    <t>Calculated based on 2022 production</t>
  </si>
  <si>
    <t>Change in price (Ammonia)</t>
  </si>
  <si>
    <t>Change in price (Fertilizer)</t>
  </si>
  <si>
    <t>Taking 2022 average US urea price of $700/T</t>
  </si>
  <si>
    <t>Change in price (Food)</t>
  </si>
  <si>
    <t>Assuming global average price of meal at $1</t>
  </si>
  <si>
    <t xml:space="preserve">Estimated Green Premium to End Consumers </t>
  </si>
  <si>
    <t xml:space="preserve">Nitrogen Fertilizer Dilution Factor (Urea) </t>
  </si>
  <si>
    <t>16 - 48%</t>
  </si>
  <si>
    <t>https://scienceofagriculture.org/nitrogen/fertilizer/fertilizer-comparison-03.html</t>
  </si>
  <si>
    <t>0.467*600/700</t>
  </si>
  <si>
    <t xml:space="preserve">Industrial Application Dilution Factor </t>
  </si>
  <si>
    <t>9 - 26%</t>
  </si>
  <si>
    <t>0.35*600/980</t>
  </si>
  <si>
    <t>Impact on food commodity price</t>
  </si>
  <si>
    <t>7 - 21%</t>
  </si>
  <si>
    <t>Scientific Paper</t>
  </si>
  <si>
    <t>https://papers.ssrn.com/sol3/papers.cfm?abstract_id=2808381</t>
  </si>
  <si>
    <t>Fertilizer share of food cost (44%) * Fertilizer cost increase</t>
  </si>
  <si>
    <t>See Technology section</t>
  </si>
  <si>
    <t>Box 1.4</t>
  </si>
  <si>
    <t xml:space="preserve">CAPEX required to transform industry asset base </t>
  </si>
  <si>
    <t>CAPEX/ Unit (SMR)</t>
  </si>
  <si>
    <t xml:space="preserve">M USD </t>
  </si>
  <si>
    <t>CAPEX/ Unit (electrolysis)</t>
  </si>
  <si>
    <t>36 billion per year for lowest cost scenario from 2023 to 2050</t>
  </si>
  <si>
    <t>Oil - Performance Data</t>
  </si>
  <si>
    <t>What oil emits, captures &amp; offsets</t>
  </si>
  <si>
    <t>IEA Oil and Gas NZE report</t>
  </si>
  <si>
    <t>Accenture analysis. Total consumption multiplied by emission intensity of oil combustion emission</t>
  </si>
  <si>
    <t xml:space="preserve">Scope 1 Methane emissions </t>
  </si>
  <si>
    <t>Methane Tracker Database – Analysis - IEA</t>
  </si>
  <si>
    <t>Methane consumption in tonnes multiplied by 100 year GWP</t>
  </si>
  <si>
    <t>Mn BPD</t>
  </si>
  <si>
    <t>IEA Oil Market Report January 2023</t>
  </si>
  <si>
    <t>Total supply minus processing gains and bio fuels</t>
  </si>
  <si>
    <t>Total Reduced Emissions Prod</t>
  </si>
  <si>
    <t>Spectrum of the well-to-tank emissions intensity of global oil production, 2019 – Charts – Data &amp; Statistics - IEA</t>
  </si>
  <si>
    <t>Total Low Emissions Prod</t>
  </si>
  <si>
    <t>Flared Associated Gas</t>
  </si>
  <si>
    <t>bcf/d</t>
  </si>
  <si>
    <t>Mn boe/d</t>
  </si>
  <si>
    <t>Approx. conversion factor 1 bcf= 0.167 Mn Boe</t>
  </si>
  <si>
    <t>Methane Vented</t>
  </si>
  <si>
    <t>Approx. conversion factor 1 MT = 48.02 BCF</t>
  </si>
  <si>
    <t>Methane Fugitive</t>
  </si>
  <si>
    <t>Includes Incomplete Flare</t>
  </si>
  <si>
    <t>kg CO2e/bbl</t>
  </si>
  <si>
    <t>Well Delivery &amp; Production</t>
  </si>
  <si>
    <t>extrapolation from 2017</t>
  </si>
  <si>
    <t>Transport &amp; Storage</t>
  </si>
  <si>
    <t>Refinery</t>
  </si>
  <si>
    <t>Not calculable because of lack of data on electricity usage</t>
  </si>
  <si>
    <t>Share of Methane Emissions</t>
  </si>
  <si>
    <t>World Energy Outlook 2018 (windows.net)</t>
  </si>
  <si>
    <t>400 from energy use, 270 from flaring, 1100 from methane</t>
  </si>
  <si>
    <t>Not available</t>
  </si>
  <si>
    <t>RMI</t>
  </si>
  <si>
    <t>https://rmi.org/insight/emissions-out-the-gate/</t>
  </si>
  <si>
    <t>Page 8</t>
  </si>
  <si>
    <t>Emission breakdown</t>
  </si>
  <si>
    <t>Mt CO2</t>
  </si>
  <si>
    <t>200 from upstream, 90 from downstream</t>
  </si>
  <si>
    <t>Calculated from Below sub-categories</t>
  </si>
  <si>
    <t>https://iea.blob.core.windows.net/assets/52f66a88-0b63-4ad2-94a5-29d36e864b82/KeyWorldEnergyStatistics2021.pdf</t>
  </si>
  <si>
    <t>Page 48</t>
  </si>
  <si>
    <t>Less significant amount compared to oil &amp; gas use</t>
  </si>
  <si>
    <t>Calculated from above weightage</t>
  </si>
  <si>
    <t>KG CO2e / GJ</t>
  </si>
  <si>
    <t>convert 0.458 KgCO2/kWh to KgCO2/GJ by dividing by 0.0036 GJ</t>
  </si>
  <si>
    <t>Shell</t>
  </si>
  <si>
    <t>Greenhouse Gas Emissions | GHG Emissions Reporting | Shell Global</t>
  </si>
  <si>
    <t>2022 Oil Demand</t>
  </si>
  <si>
    <t>MBD</t>
  </si>
  <si>
    <t>2022 Oil Production</t>
  </si>
  <si>
    <t>2050 IEA Stated Policies Oil Demand</t>
  </si>
  <si>
    <t>Page 329</t>
  </si>
  <si>
    <t>2050 IEA Stated Policies Oil Production</t>
  </si>
  <si>
    <t>2050 IEA APS Demand</t>
  </si>
  <si>
    <t>2050 IEA APS Production</t>
  </si>
  <si>
    <t>2050 IEA Net Zero Demand</t>
  </si>
  <si>
    <t>Page 75</t>
  </si>
  <si>
    <t>2050 IEA Net Zero Production</t>
  </si>
  <si>
    <t>Oil - Readiness Data</t>
  </si>
  <si>
    <t>Refining</t>
  </si>
  <si>
    <t>TRL in Oil&amp;Gas</t>
  </si>
  <si>
    <t>Available (10-11)</t>
  </si>
  <si>
    <t>Flaring Emissions – Analysis - IEA</t>
  </si>
  <si>
    <t>Accenture Analysis</t>
  </si>
  <si>
    <t>Unknown (3 - 5)</t>
  </si>
  <si>
    <t>ETP Clean Energy Technology Guide – Analysis - IEA</t>
  </si>
  <si>
    <t>Unknown (4)</t>
  </si>
  <si>
    <t>Assuming the TRL of electrification of steam crackers</t>
  </si>
  <si>
    <t>Assuming the TRL of hydrogen use for heating in cement kilns</t>
  </si>
  <si>
    <t>Zero  Methane Technologies</t>
  </si>
  <si>
    <t>76% of total methane can be captured</t>
  </si>
  <si>
    <t>Abated at below 0 cost</t>
  </si>
  <si>
    <t>Abated at 0-10$ per MMBtu</t>
  </si>
  <si>
    <t>Abatements not possible with current available technology</t>
  </si>
  <si>
    <t>Flaring emissions are 9% of total emissions. 92% efficiency of flares (only CO2 emissions) * 9% total emissions = 8% emissions reduced</t>
  </si>
  <si>
    <t>Accenture Analysis - assumed clean electricity can reduce emissions associated with energy use (13%)</t>
  </si>
  <si>
    <t>Frontiers</t>
  </si>
  <si>
    <t>DNV Carbon Emission Reduction Roadmap for Refineries</t>
  </si>
  <si>
    <t>Electrification for low to medium heat</t>
  </si>
  <si>
    <t>DNV GL</t>
  </si>
  <si>
    <t>Hydrogen for high heat</t>
  </si>
  <si>
    <t>Est. Production Increase Cost vs Current production cost</t>
  </si>
  <si>
    <t>Production Cost</t>
  </si>
  <si>
    <t>USD/bbl</t>
  </si>
  <si>
    <t>Rystad</t>
  </si>
  <si>
    <t>Breakeven price from Rystad database</t>
  </si>
  <si>
    <t>Rystad Energy</t>
  </si>
  <si>
    <t>Rystad Energy report (edf.org)</t>
  </si>
  <si>
    <t>University of Wyoming</t>
  </si>
  <si>
    <t>Electrifying the Oilfield: The Comparative Economics of Grid Power and Onsite Gas Generators (Draft Jan 30 2017) (eoriwyoming.org)</t>
  </si>
  <si>
    <t>Carbon emission reduction roadmap for refineries (dnv.com)</t>
  </si>
  <si>
    <t>8-10%</t>
  </si>
  <si>
    <t>From summing technology cost production increases</t>
  </si>
  <si>
    <t>Hydrogen for energy</t>
  </si>
  <si>
    <t>Low CO2 electricity Capacity Required in well delivery &amp; Production</t>
  </si>
  <si>
    <t>Calculation</t>
  </si>
  <si>
    <t>Electricity requirement per bbl</t>
  </si>
  <si>
    <t>KWH/bbl</t>
  </si>
  <si>
    <t>Low CO2 electricity Capacity Required in refinery in 2050</t>
  </si>
  <si>
    <t>Global Refinery Energy Usage  in 2020</t>
  </si>
  <si>
    <t>TWH</t>
  </si>
  <si>
    <t>Georgia Institute of Technology</t>
  </si>
  <si>
    <t>Membrane technology could cut emissions and energy use in oil refining -- ScienceDaily</t>
  </si>
  <si>
    <t>Low CO2 Hydrogen Required in refinery for processes in 2050</t>
  </si>
  <si>
    <t>Global Hydrogen Review 2021 (windows.net)</t>
  </si>
  <si>
    <t>Page 51 : Half of the demand is met internally</t>
  </si>
  <si>
    <t>Low CO2 Hydrogen Required in refinery for energy in 2050</t>
  </si>
  <si>
    <t>Global Refinery Energy Usage  in 2050</t>
  </si>
  <si>
    <t>Hydrogen energy required in 2050</t>
  </si>
  <si>
    <t>Hydrogen Energy Release per ton</t>
  </si>
  <si>
    <t>MWH/T</t>
  </si>
  <si>
    <t>Run on Less with Hydrogen Fuel Cells - RMI</t>
  </si>
  <si>
    <t xml:space="preserve">Refinery Emissions Intensity </t>
  </si>
  <si>
    <t>Kg CO2e/bbl</t>
  </si>
  <si>
    <t xml:space="preserve">From Performance Tracker </t>
  </si>
  <si>
    <t>USD / MTPA</t>
  </si>
  <si>
    <t>Low Emissions Oil</t>
  </si>
  <si>
    <t>Required Green Premium on Crude Oil</t>
  </si>
  <si>
    <t>Total Price Increase upstream on crude oil</t>
  </si>
  <si>
    <t>From Technology tracker, maximum value for upstream</t>
  </si>
  <si>
    <t>Average price of crude oil in 2022</t>
  </si>
  <si>
    <t>Average crude oil production in 2022</t>
  </si>
  <si>
    <t>Crude Oil Market Value (2021)</t>
  </si>
  <si>
    <t>Tn USD</t>
  </si>
  <si>
    <t>Additional Cost for Low Emissions Market</t>
  </si>
  <si>
    <t>Estimated Green Premium to end users</t>
  </si>
  <si>
    <t>Green premium on refined oil</t>
  </si>
  <si>
    <t>Maximum cost increase from technology section</t>
  </si>
  <si>
    <t>Green Premium on Gasoline</t>
  </si>
  <si>
    <t>Share of Gasoline in total refinery output</t>
  </si>
  <si>
    <t>Refining crude oil - inputs and outputs - U.S. Energy Information Administration (EIA)</t>
  </si>
  <si>
    <t>Green Premium on Diesel</t>
  </si>
  <si>
    <t>Share of Diesel in total refinery output</t>
  </si>
  <si>
    <t>Green Premium on Jetfuel</t>
  </si>
  <si>
    <t>Share of Jetfuel in total refinery output</t>
  </si>
  <si>
    <t>Low Emissions production</t>
  </si>
  <si>
    <t>Crude Oil 2020 Production</t>
  </si>
  <si>
    <t>Crude Oil Number of Plants</t>
  </si>
  <si>
    <t>Refined Oil 2020 Production</t>
  </si>
  <si>
    <t xml:space="preserve">High Emissions Production </t>
  </si>
  <si>
    <t>Crude Oil 2022 Production</t>
  </si>
  <si>
    <t>Crude oil 2050 production as per IEA net zero</t>
  </si>
  <si>
    <t>See report for country breakdown</t>
  </si>
  <si>
    <t>Refined Oil 2022 Production</t>
  </si>
  <si>
    <t>Page 25</t>
  </si>
  <si>
    <t>2022 refinery runs</t>
  </si>
  <si>
    <t>#</t>
  </si>
  <si>
    <t>Oil and Gas Investment required to transform</t>
  </si>
  <si>
    <t>Upstream</t>
  </si>
  <si>
    <t>Upstream oil and gas CAPEX</t>
  </si>
  <si>
    <t>Capex needed for Methane reduction technologies</t>
  </si>
  <si>
    <t>Methane Tracker 2023</t>
  </si>
  <si>
    <t>Capex needed for zero flaring</t>
  </si>
  <si>
    <t>Page 19</t>
  </si>
  <si>
    <t>Capex needed for electrification</t>
  </si>
  <si>
    <t>Electification CAPEX for oil and gas</t>
  </si>
  <si>
    <t>Page 23</t>
  </si>
  <si>
    <t>CAPEX per unit</t>
  </si>
  <si>
    <t>per tonne of CO2</t>
  </si>
  <si>
    <t>global CCS institute</t>
  </si>
  <si>
    <t>https://www.globalccsinstitute.com/archive/hub/publications/201688/global-ccs-cost-updatev4.pdf</t>
  </si>
  <si>
    <t>Table E: Capital and O&amp;M cost breakdown for industrial applications</t>
  </si>
  <si>
    <t>Total CAPEX - Processed Natural Gas</t>
  </si>
  <si>
    <t>Refineries total Capex needed in CCUS pathway (global 2050)</t>
  </si>
  <si>
    <t>DNV</t>
  </si>
  <si>
    <t>Accenture analysis based on DNV roadmap for refineries</t>
  </si>
  <si>
    <t xml:space="preserve">Financial Indicators for Oil &amp; Gas Industry </t>
  </si>
  <si>
    <t>Gas - Performance Data</t>
  </si>
  <si>
    <t>What natural gas emits, captures &amp; offsets</t>
  </si>
  <si>
    <t xml:space="preserve">GHG emissions upon combustion * total production </t>
  </si>
  <si>
    <t xml:space="preserve">Emission factor of natural gas </t>
  </si>
  <si>
    <t>kgCO2 / kcf</t>
  </si>
  <si>
    <t>37 MT of methane using GWP of 34</t>
  </si>
  <si>
    <t>https://www.iea.org/reports/about-ccus</t>
  </si>
  <si>
    <t>Bcf/d</t>
  </si>
  <si>
    <t>https://iea.blob.core.windows.net/assets/c6ca64dc-240d-4a7c-b327-e1799201b98f/GasMarketReportQ12023.pdf</t>
  </si>
  <si>
    <t>35.315 is used as the conversion factor between bcm and bcf</t>
  </si>
  <si>
    <t>Reduced Emission Production.</t>
  </si>
  <si>
    <t>Spectrum of the well-to-tank emissions intensity of global gas production, 2018 – Charts – Data &amp; Statistics - IEA</t>
  </si>
  <si>
    <t>Low Emission Production</t>
  </si>
  <si>
    <t>Methane vented</t>
  </si>
  <si>
    <t>kt</t>
  </si>
  <si>
    <t>tCO2e per mmcf</t>
  </si>
  <si>
    <t xml:space="preserve">Sustainable Gas Institute </t>
  </si>
  <si>
    <t>https://www.imperial.ac.uk/media/imperial-college/research-centres-and-groups/sustainable-gas-institute/SGI_White_Paper_methane-and-CO2-emissions_WEB-FINAL.pdf</t>
  </si>
  <si>
    <t>Table 6</t>
  </si>
  <si>
    <t>Processing</t>
  </si>
  <si>
    <t>LNG</t>
  </si>
  <si>
    <t>Methane Share of Emissions</t>
  </si>
  <si>
    <t xml:space="preserve">Assumption </t>
  </si>
  <si>
    <t xml:space="preserve">11. Use of sold product </t>
  </si>
  <si>
    <t xml:space="preserve">1. Purchased goods and services </t>
  </si>
  <si>
    <t xml:space="preserve">3. fuel and energy related activities </t>
  </si>
  <si>
    <t>t CO2 e / mcf</t>
  </si>
  <si>
    <t xml:space="preserve">Main Offsetting Effort </t>
  </si>
  <si>
    <t>Natural Gas Demand</t>
  </si>
  <si>
    <t>Natural Gas Production</t>
  </si>
  <si>
    <t>2050 IEA Stated Policies</t>
  </si>
  <si>
    <t>Page 369</t>
  </si>
  <si>
    <t>2050 IEA APS</t>
  </si>
  <si>
    <t>2050 IEA Net Zero</t>
  </si>
  <si>
    <t>Gas - Readiness Data</t>
  </si>
  <si>
    <t>TRL in Natural Gas</t>
  </si>
  <si>
    <t>Available (10 - 11)</t>
  </si>
  <si>
    <t>https://iea.blob.core.windows.net/assets/585b901a-e7d2-4bca-b477-e1baa14dde5c/CurtailingMethaneEmissionsfromFossilFuelOperations.pdf</t>
  </si>
  <si>
    <t xml:space="preserve">Technology is well established, cost effectiveness depends on geography </t>
  </si>
  <si>
    <t>https://www.globalccsinstitute.com/wp-content/uploads/2021/03/Technology-Readiness-and-Costs-for-CCS-2021-1.pdf</t>
  </si>
  <si>
    <t>Physical solvent (Selexol, Rectisol)</t>
  </si>
  <si>
    <t>Sustainable Gas Institute</t>
  </si>
  <si>
    <t>Assuming electrification can reduce entire non-methane emissions</t>
  </si>
  <si>
    <t xml:space="preserve">       Abatement at below zero cost</t>
  </si>
  <si>
    <t>https://www.iea.org/articles/methane-tracker-database</t>
  </si>
  <si>
    <t xml:space="preserve">       Abatement at  $0 - 22/MMBtu</t>
  </si>
  <si>
    <t xml:space="preserve">       Abatements not possible with current available technology</t>
  </si>
  <si>
    <t xml:space="preserve">Share of CO2 from Gas Processing </t>
  </si>
  <si>
    <t>imperial.ac.uk/media/imperial-college/research-centres-and-groups/sustainable-gas-institute/SGI_White_Paper_methane-and-CO2-emissions_WEB-FINAL.pdf</t>
  </si>
  <si>
    <t>page 86</t>
  </si>
  <si>
    <t xml:space="preserve">CCUS capture rate </t>
  </si>
  <si>
    <t>ABB</t>
  </si>
  <si>
    <t>Paper LNG_Rev A_lowres.pdf (abb.com)</t>
  </si>
  <si>
    <t>Est. Production Cost Increase</t>
  </si>
  <si>
    <t xml:space="preserve">Cost of Producing Natural Gas </t>
  </si>
  <si>
    <t xml:space="preserve">USD / MMBTU </t>
  </si>
  <si>
    <t>Gas processing Carbon Capture</t>
  </si>
  <si>
    <t xml:space="preserve">MMBTU of CH4 with 1 T of CO2 </t>
  </si>
  <si>
    <t>mmbtu</t>
  </si>
  <si>
    <t xml:space="preserve">Assuming a high CO2 raw stream </t>
  </si>
  <si>
    <t xml:space="preserve">Carbon Capture Cost in USD </t>
  </si>
  <si>
    <t>USD / T CO2</t>
  </si>
  <si>
    <t>&lt; 1</t>
  </si>
  <si>
    <t>Assumption based on carbon capture projects</t>
  </si>
  <si>
    <t>Assumption based on current electrification projects</t>
  </si>
  <si>
    <t>Sum of technology costs</t>
  </si>
  <si>
    <t>Estimated 2050 Production</t>
  </si>
  <si>
    <t>BCF / D</t>
  </si>
  <si>
    <t>Global LNG Production in 2050</t>
  </si>
  <si>
    <t>IEA - 60% decrease from 2020 levels</t>
  </si>
  <si>
    <t>Decarbonization of electricity Capacity Required</t>
  </si>
  <si>
    <t>Energy required to electrify upstream</t>
  </si>
  <si>
    <t>1 BCF=190,000 BOE</t>
  </si>
  <si>
    <t>Electricity requirement per BOE</t>
  </si>
  <si>
    <t>KWH/boe</t>
  </si>
  <si>
    <t xml:space="preserve">Global Energy required to electrify LNG </t>
  </si>
  <si>
    <t>1 GJ/year = 3.17*10^-8 GW</t>
  </si>
  <si>
    <t xml:space="preserve">Energy required to electrify LNG </t>
  </si>
  <si>
    <t>GJ/ton</t>
  </si>
  <si>
    <t>https://iopscience.iop.org/article/10.1088/1742-6596/547/1/012012/pdf#:~:text=Liquefying%20natural%20gas%20is%20a,kg%20is%20necessary%20(considering%20a</t>
  </si>
  <si>
    <t>Global LNG Production</t>
  </si>
  <si>
    <t>Mn tons</t>
  </si>
  <si>
    <t>IGU</t>
  </si>
  <si>
    <t>World LNG Report 2022 | IGU</t>
  </si>
  <si>
    <t>Investment Required</t>
  </si>
  <si>
    <t>https://www.iea.org/reports/net-zero-by-2050</t>
  </si>
  <si>
    <t>table 2.9</t>
  </si>
  <si>
    <t>Assume that 410 from non-biofuels comes from natural gas and oil and 162 from oil</t>
  </si>
  <si>
    <t>Current Capacity</t>
  </si>
  <si>
    <t>EIA Henry Hub Spot Prices</t>
  </si>
  <si>
    <t>Based on Henry Hub</t>
  </si>
  <si>
    <t>Rounded off to 530 in tracker</t>
  </si>
  <si>
    <t>Estimated Premium to electricity</t>
  </si>
  <si>
    <t xml:space="preserve">Cost of Electricity </t>
  </si>
  <si>
    <t>USD / MWh</t>
  </si>
  <si>
    <t>https://www.eia.gov/outlooks/steo/pdf/steo_full.pdf</t>
  </si>
  <si>
    <t>Table 7a</t>
  </si>
  <si>
    <t>Share of output</t>
  </si>
  <si>
    <t>https://www.iea.org/data-and-statistics/charts/global-natural-gas-demand-per-sector-2005-2025</t>
  </si>
  <si>
    <t>MMBTU of Natural Gas to Produce 1 MWh</t>
  </si>
  <si>
    <t xml:space="preserve">MMBTU </t>
  </si>
  <si>
    <t>Table 2</t>
  </si>
  <si>
    <t>Cost of Natural Gas to produce 1 MWh</t>
  </si>
  <si>
    <t>Estimated Premium for Ammonia</t>
  </si>
  <si>
    <t>Average price of 2021</t>
  </si>
  <si>
    <t>Cost of Ammonia</t>
  </si>
  <si>
    <t>1e</t>
  </si>
  <si>
    <t>Share of Output</t>
  </si>
  <si>
    <t xml:space="preserve">Natural gas needed for 1 MT NH3 </t>
  </si>
  <si>
    <t xml:space="preserve">bcm </t>
  </si>
  <si>
    <t xml:space="preserve">170 bcm of NG for 72% of 185 MT of NH# </t>
  </si>
  <si>
    <t xml:space="preserve">MMBTU of Natural Gas to Produce 1 T of NH3 </t>
  </si>
  <si>
    <t>Cost of Natural Gas to produce 1T of NH3</t>
  </si>
  <si>
    <t xml:space="preserve">USD / T NH3 </t>
  </si>
  <si>
    <t xml:space="preserve">Total bcm used </t>
  </si>
  <si>
    <t>https://www.iea.org/reports/ammonia-technology-roadmap</t>
  </si>
  <si>
    <t xml:space="preserve">Estimated Premium to Heating </t>
  </si>
  <si>
    <t xml:space="preserve">Cost of Delivered Natural Gas (Residential) </t>
  </si>
  <si>
    <t xml:space="preserve">dollar per thousand cubic feet </t>
  </si>
  <si>
    <t>https://www.eia.gov/dnav/ng/hist_xls/N3010US3a.xls</t>
  </si>
  <si>
    <t>Data 1: U.S. Natural Gas Prices</t>
  </si>
  <si>
    <t>Source key: N3010US3, rounded to nearest dollar</t>
  </si>
  <si>
    <t>Low-emission Production</t>
  </si>
  <si>
    <t>Raw Natural Gas Production</t>
  </si>
  <si>
    <t>Processed Natural Gas Production</t>
  </si>
  <si>
    <t>both operational and pilots</t>
  </si>
  <si>
    <t xml:space="preserve">High-emission Production </t>
  </si>
  <si>
    <t>See performance tab</t>
  </si>
  <si>
    <t>https://www.eia.gov/todayinenergy/detail.php?id=38592</t>
  </si>
  <si>
    <t xml:space="preserve">Estimated number based on American  capacity to plants ratio </t>
  </si>
  <si>
    <t>Investment required to transform</t>
  </si>
  <si>
    <t>Total CAPEX - Raw Natural Gas</t>
  </si>
  <si>
    <t>Capex /BCF</t>
  </si>
  <si>
    <t>USD Mn/BCF</t>
  </si>
  <si>
    <t>Shipping - Performance Data</t>
  </si>
  <si>
    <t>Operational</t>
  </si>
  <si>
    <t>Fuel Supply Chain</t>
  </si>
  <si>
    <t>IMO</t>
  </si>
  <si>
    <t>IMO Fuel Consumption Data 2021</t>
  </si>
  <si>
    <t>Manufacturing</t>
  </si>
  <si>
    <t>Assuming the following breakup of emissions: Operating 80%, Fuel Value Chain 12%, Manufacturing 8%</t>
  </si>
  <si>
    <t xml:space="preserve">Operational Non - CO2 emissions </t>
  </si>
  <si>
    <t>IMO 4th GHG Study</t>
  </si>
  <si>
    <t>How much is transported</t>
  </si>
  <si>
    <t>Total Transport Work</t>
  </si>
  <si>
    <t>billions of cargo ton-miles</t>
  </si>
  <si>
    <t>UNCTAD</t>
  </si>
  <si>
    <t>Review of Maritime Trade 2022 UNCTAD</t>
  </si>
  <si>
    <t>Reduced Emission Transport Work</t>
  </si>
  <si>
    <t>Low Emission Transport Work</t>
  </si>
  <si>
    <t>How it is transported</t>
  </si>
  <si>
    <t>Transport work Emission Intensity</t>
  </si>
  <si>
    <t>g CO2 e/tnm</t>
  </si>
  <si>
    <t>Bulk Carriers</t>
  </si>
  <si>
    <t>Tankers</t>
  </si>
  <si>
    <t>Container Ships</t>
  </si>
  <si>
    <t>General Cargo</t>
  </si>
  <si>
    <t>HFO</t>
  </si>
  <si>
    <t>Light Fuel Oil</t>
  </si>
  <si>
    <t>MDO</t>
  </si>
  <si>
    <t>EU MRV</t>
  </si>
  <si>
    <t>Calculated using CO2/fuel consumed, fuel consumed, and energy consumed data</t>
  </si>
  <si>
    <t>Zero Emission Fuels</t>
  </si>
  <si>
    <t>GTZ</t>
  </si>
  <si>
    <t>https://www.globalmaritimeforum.org/content/2021/10/A-Strategy-for-the-Transition-to-Zero-Emission-Shipping.pdf</t>
  </si>
  <si>
    <t>Page 29</t>
  </si>
  <si>
    <t>Fossil Fuels</t>
  </si>
  <si>
    <t>2021 Transport Work</t>
  </si>
  <si>
    <t>Page 5</t>
  </si>
  <si>
    <t>2050 BAU</t>
  </si>
  <si>
    <t>IRENA Shipping Decarbonization Pathway 2021</t>
  </si>
  <si>
    <t>Page 74</t>
  </si>
  <si>
    <t>IRENA BES Scenario</t>
  </si>
  <si>
    <t>2050 Net-Zero Transport Work</t>
  </si>
  <si>
    <t>IRENA 1.5 degree scenario</t>
  </si>
  <si>
    <t>Available (8-9)</t>
  </si>
  <si>
    <t>DNV Martime Forecast to 2050</t>
  </si>
  <si>
    <t>Page 37</t>
  </si>
  <si>
    <t>2025 (5)</t>
  </si>
  <si>
    <t xml:space="preserve">Emission Reduction Limit </t>
  </si>
  <si>
    <t>Compared to LSFO</t>
  </si>
  <si>
    <t>Sea-LNG</t>
  </si>
  <si>
    <t>Sea-LNG Report</t>
  </si>
  <si>
    <t>MMM Center for Zero Carbon Shipping</t>
  </si>
  <si>
    <t>Industry Transition Strategy - Zero Carbon Shipping</t>
  </si>
  <si>
    <t>Page 18</t>
  </si>
  <si>
    <t>Green hydrogen based</t>
  </si>
  <si>
    <t>Est. increase in TCO in 2030 vs. Reference LSFO</t>
  </si>
  <si>
    <t>0-8%</t>
  </si>
  <si>
    <t>40-81%</t>
  </si>
  <si>
    <t>30-70%</t>
  </si>
  <si>
    <t>10-30%</t>
  </si>
  <si>
    <t>Figure 3.2</t>
  </si>
  <si>
    <t>Estimated 2050 Energy Demand</t>
  </si>
  <si>
    <t>Marine fuel oil</t>
  </si>
  <si>
    <t>Low power electricity required</t>
  </si>
  <si>
    <t>Page 83</t>
  </si>
  <si>
    <t>Lower end of capacity considered; only solar and wind</t>
  </si>
  <si>
    <t>Capex / Unit for solar and wind</t>
  </si>
  <si>
    <t>Based on blending IRENA costs using today's generation mix as weights; only solar and wind</t>
  </si>
  <si>
    <t>Green H2 feedstock capacity required</t>
  </si>
  <si>
    <t>Accenture calculations</t>
  </si>
  <si>
    <t>Assuming 18EJ energy requirement, 95% ZEF, 90-10 split between ammonia and methanol</t>
  </si>
  <si>
    <t>CO2 to be captured to be used as feedstock</t>
  </si>
  <si>
    <t>Assuming 18EJ energy requirement, 95% ZEF, 75%-25% split between ammonia and methanol, 50% CO2 captured offsite</t>
  </si>
  <si>
    <t>Biofuels refining / production capacity</t>
  </si>
  <si>
    <t>Biofuels refining capacity required</t>
  </si>
  <si>
    <t>CAPEX / Unit (upper)</t>
  </si>
  <si>
    <t>USD bn/EJ</t>
  </si>
  <si>
    <t>Investments required in biofuels production (upper)</t>
  </si>
  <si>
    <t>USD bn</t>
  </si>
  <si>
    <t>Investments required in biofuels production (lower)</t>
  </si>
  <si>
    <t>Bunkering requirements</t>
  </si>
  <si>
    <t>Bunkering capacity required</t>
  </si>
  <si>
    <t>CAPEX/unit (Upper)</t>
  </si>
  <si>
    <t>USD Mn/MT</t>
  </si>
  <si>
    <t>GMF</t>
  </si>
  <si>
    <t>https://www.globalmaritimeforum.org/content/2020/11/The-First-Wave-%E2%80%93-A-blueprint-for-commercial-scale-zero-emission-shipping-pilots.pdf</t>
  </si>
  <si>
    <t>Exhibit 2</t>
  </si>
  <si>
    <t>$41 million bunkering CAPEX for 700 tonnes per day ammonia production, rounded to 200</t>
  </si>
  <si>
    <t>CAPEX/unit high range (Lower)</t>
  </si>
  <si>
    <t>$50 million bunkering CAPEX for 950 tonnes per day ammonia production, rounded to 150</t>
  </si>
  <si>
    <t>See technology section</t>
  </si>
  <si>
    <t>TCO increase upper</t>
  </si>
  <si>
    <t>Assuming Ammonia</t>
  </si>
  <si>
    <t>TCO increase lower</t>
  </si>
  <si>
    <t>Estimated Green Premium Range Lower</t>
  </si>
  <si>
    <t>Estimated Green Premium Range Upper</t>
  </si>
  <si>
    <t>Freight revenue per ton-mile</t>
  </si>
  <si>
    <t>USD / Ton-mile</t>
  </si>
  <si>
    <t>https://transportgeography.org/contents/chapter5/transportation-modes-modal-competition-modal-shift/freight-transport-revenue-ton-mile/</t>
  </si>
  <si>
    <t>US based data</t>
  </si>
  <si>
    <t>Transport work</t>
  </si>
  <si>
    <t>Billion Ton-miles</t>
  </si>
  <si>
    <t>Shipping Freight Market Value</t>
  </si>
  <si>
    <t xml:space="preserve">Trillion USD </t>
  </si>
  <si>
    <t>Additional Cost for Low CO2 Market Lower</t>
  </si>
  <si>
    <t>Additional Cost for Low CO2 Market Upper</t>
  </si>
  <si>
    <t>Transport as a % of final retail price</t>
  </si>
  <si>
    <t>Page 51-51</t>
  </si>
  <si>
    <t>Estimated Green Premium to End Consumers in Retail Lower</t>
  </si>
  <si>
    <t>Estimated Green Premium to End Consumers in Retail Upper</t>
  </si>
  <si>
    <t>Page 51-52</t>
  </si>
  <si>
    <t>Global fleet in 2022</t>
  </si>
  <si>
    <t>Considering only hydrogen, methanol and battery/hybrid ships as ships that don't need retrofit</t>
  </si>
  <si>
    <t>Low Co2 ships</t>
  </si>
  <si>
    <t>2022 Number of Vessels</t>
  </si>
  <si>
    <t>% of vessels in the age group 0-9</t>
  </si>
  <si>
    <t>Page 31</t>
  </si>
  <si>
    <t>Assuming only ships under 10 years</t>
  </si>
  <si>
    <t>Number of existing ships suitable for retrofit</t>
  </si>
  <si>
    <t>Number of new ships ordered</t>
  </si>
  <si>
    <t>Retrofit %</t>
  </si>
  <si>
    <t>Total ships eligible for retrofit</t>
  </si>
  <si>
    <t>Mn USD / ship</t>
  </si>
  <si>
    <t>EMSA</t>
  </si>
  <si>
    <t>Page 52</t>
  </si>
  <si>
    <t>CAPEX for retrofit to ammonia</t>
  </si>
  <si>
    <t>Company estimates</t>
  </si>
  <si>
    <t>Average range of shipping company WACC values</t>
  </si>
  <si>
    <t>What trucking emits, captures &amp; offsets</t>
  </si>
  <si>
    <t>IEA Report Trucks and Buses</t>
  </si>
  <si>
    <t>Need confirmation from Industry</t>
  </si>
  <si>
    <t>billions of ton-km</t>
  </si>
  <si>
    <t>Long-haul</t>
  </si>
  <si>
    <t>ICCT</t>
  </si>
  <si>
    <t>https://theicct.org/wp-content/uploads/2021/12/eu-hdv-co2-standards-baseline-data-sept21.pdf</t>
  </si>
  <si>
    <t>Regional</t>
  </si>
  <si>
    <t>Urban</t>
  </si>
  <si>
    <t>Diesel</t>
  </si>
  <si>
    <t>Gasoline</t>
  </si>
  <si>
    <t>https://www.iea.org/reports/trucks-and-buses</t>
  </si>
  <si>
    <t>Assuming similar split of energy sources for trucks</t>
  </si>
  <si>
    <t>Accelerated zero emission scenario</t>
  </si>
  <si>
    <t>2020 Transport Work</t>
  </si>
  <si>
    <t>2050 Sustainability Transport Work</t>
  </si>
  <si>
    <t>MPP, IEA</t>
  </si>
  <si>
    <t>IEA ETP</t>
  </si>
  <si>
    <t>2025 (7-8)</t>
  </si>
  <si>
    <t>Renewable Natural Gas</t>
  </si>
  <si>
    <t>Synfuels</t>
  </si>
  <si>
    <t>https://www.iea.org/reports/renewables-2022/transport-biofuels</t>
  </si>
  <si>
    <t>Assumption based on share of biodiesel and renewable diesel</t>
  </si>
  <si>
    <t>Compared to Diesel, using renewable sources</t>
  </si>
  <si>
    <t>biogasworld</t>
  </si>
  <si>
    <t>www.biogasworld.com</t>
  </si>
  <si>
    <t>Using renewable diesel values</t>
  </si>
  <si>
    <t>Est. TCO Cost vs. Reference Diesel</t>
  </si>
  <si>
    <t>33-133%</t>
  </si>
  <si>
    <t>100-300%</t>
  </si>
  <si>
    <t>At par with diesel</t>
  </si>
  <si>
    <t>AFDC</t>
  </si>
  <si>
    <t>Based on October 2022 fuel prices of diesel and CNG</t>
  </si>
  <si>
    <t>Based on October 2022 fuel prices of diesel and Biodiesel B-20</t>
  </si>
  <si>
    <t>Estimated 2050 Sales</t>
  </si>
  <si>
    <t>page 44-47</t>
  </si>
  <si>
    <t>Accelerated zero-emission scenario</t>
  </si>
  <si>
    <t>Page 51</t>
  </si>
  <si>
    <t>Charging and refuelling infrastructrure requirements</t>
  </si>
  <si>
    <t>Total BET charging stations required</t>
  </si>
  <si>
    <t>million</t>
  </si>
  <si>
    <t>Page 49</t>
  </si>
  <si>
    <t>Accelerated zero-emission scenario. 1.5 million of 500KW fast chargers and 9 million of 100KW overnight chargers</t>
  </si>
  <si>
    <t>USD/station</t>
  </si>
  <si>
    <t>Page 4</t>
  </si>
  <si>
    <t>Assuming cost per charger of 1 chargers divided by 50 to get cost per Kw</t>
  </si>
  <si>
    <t>Assuming cost per charger of 6-50 chargers divided by 50 to get cost per Kw</t>
  </si>
  <si>
    <t>Number of Hydrogen refuelling stations</t>
  </si>
  <si>
    <t>USD Mn/#</t>
  </si>
  <si>
    <t>Future of Hydrogen</t>
  </si>
  <si>
    <t>See technology slide.</t>
  </si>
  <si>
    <t>Trucking Freight Market Value</t>
  </si>
  <si>
    <t>Estimated Green Premium to End Consumers in Retail</t>
  </si>
  <si>
    <t>1-3%</t>
  </si>
  <si>
    <t>Global fleet in 2021</t>
  </si>
  <si>
    <t>Low Co2 Trucks</t>
  </si>
  <si>
    <t>2021 Number of trucks</t>
  </si>
  <si>
    <t>High Co2 trucks</t>
  </si>
  <si>
    <t>2022 Number of Trucks</t>
  </si>
  <si>
    <t>Eligible for retrofit</t>
  </si>
  <si>
    <t>Mn USD / truck</t>
  </si>
  <si>
    <t>Drive to Zero</t>
  </si>
  <si>
    <t xml:space="preserve">Total CAPEX required </t>
  </si>
  <si>
    <t>CAPEX per year</t>
  </si>
  <si>
    <t>Taking ground transportation as a proxy</t>
  </si>
  <si>
    <t>Passenger</t>
  </si>
  <si>
    <t>Cargo</t>
  </si>
  <si>
    <t>overall %age split - 5.8% cargo ~90% passenger-  2021</t>
  </si>
  <si>
    <t>flight seat utilisation to translate ATK to RTK</t>
  </si>
  <si>
    <t xml:space="preserve">assume 70%? </t>
  </si>
  <si>
    <t>What aviation emits, captures &amp; offsets</t>
  </si>
  <si>
    <t>WTT TTW Split</t>
  </si>
  <si>
    <t>IEA Aviation tracking</t>
  </si>
  <si>
    <t>Mentions that half of 268 MT emissions increase from oil in 2022 came from aviation which equals 134 MT. Adding 134 MT to 2021 aviation emissions of 712 MT gives 846 MT of aviation emissions in 2022</t>
  </si>
  <si>
    <t>Freight tonne kilometers b (FTK)</t>
  </si>
  <si>
    <t>IATA</t>
  </si>
  <si>
    <t>https://www.iata.org/en/iata-repository/publications/economic-reports/global-outlook-for-air-transport---december-2022/</t>
  </si>
  <si>
    <t>Page 16, Table 1:Key Figures</t>
  </si>
  <si>
    <t>If there is a combined number - use that instead</t>
  </si>
  <si>
    <t xml:space="preserve">Revenue passenger kilometers Billion (RPK) </t>
  </si>
  <si>
    <t>Revenue tonne kilometers (RTK)</t>
  </si>
  <si>
    <t>Calculated by converting RPK into equivalent tonne terms assuming 1 passenger = 90kg. This is then added to FTK</t>
  </si>
  <si>
    <t>Revenue passenger kilometers (RPK)</t>
  </si>
  <si>
    <t>Transport Work Emission Intensity</t>
  </si>
  <si>
    <t>g CO2 RPK</t>
  </si>
  <si>
    <t>Aviation emission intensity</t>
  </si>
  <si>
    <t>Accenture carbon calculator</t>
  </si>
  <si>
    <t>Regional jet</t>
  </si>
  <si>
    <t>Narrow body jet</t>
  </si>
  <si>
    <t>Wide body jet</t>
  </si>
  <si>
    <t>% of Global Available Fleet</t>
  </si>
  <si>
    <t>https://www.statista.com/statistics/573231/aviation-industry-aircraft-fleet-by-type/</t>
  </si>
  <si>
    <t>MJ/RTK</t>
  </si>
  <si>
    <t>MJ/ATK</t>
  </si>
  <si>
    <t>ICAO LTAG</t>
  </si>
  <si>
    <t>https://www.icao.int/environmental-protection/LTAG/Documents/ICAO_LTAG_Report_AppendixM3.pdf</t>
  </si>
  <si>
    <t>Page 102, Figure 7.7</t>
  </si>
  <si>
    <t xml:space="preserve">GLEC </t>
  </si>
  <si>
    <t>Page 104, Figure 7.10</t>
  </si>
  <si>
    <t>Page 108, Figure 7.13</t>
  </si>
  <si>
    <t>bn Litres</t>
  </si>
  <si>
    <t>Jesko Neuenberg</t>
  </si>
  <si>
    <t>ATF</t>
  </si>
  <si>
    <t>Estimate based on fuel use</t>
  </si>
  <si>
    <t>SAF</t>
  </si>
  <si>
    <t>Avgas</t>
  </si>
  <si>
    <t>(Bioekerosene)</t>
  </si>
  <si>
    <t>PJ</t>
  </si>
  <si>
    <t>(E-kerosene)</t>
  </si>
  <si>
    <t>kg CO2e / MJ</t>
  </si>
  <si>
    <t>ICAO</t>
  </si>
  <si>
    <t>icao.int/environmental-protection/CORSIA/Documents/CORSIA_Eligible_Fuels/ICAO%20document%2007%20-%20Methodology%20for%20Actual%20Life%20Cycle%20Emissions%20-%20June%202022.pdf</t>
  </si>
  <si>
    <t>pg 2</t>
  </si>
  <si>
    <t>Calculated at average of 70% reduction from jet fuel IATA</t>
  </si>
  <si>
    <t>Biofuel</t>
  </si>
  <si>
    <t>Power to liquid</t>
  </si>
  <si>
    <t>https://theicct.org/wp-content/uploads/2022/02/fuels-us-europe-current-future-cost-ekerosene-us-europe-mar22.pdf</t>
  </si>
  <si>
    <t>pg 9</t>
  </si>
  <si>
    <t>2022 Transport Work</t>
  </si>
  <si>
    <t>billion RPK</t>
  </si>
  <si>
    <t>2050 Low Growth Scenario</t>
  </si>
  <si>
    <t>Waypoint 2050</t>
  </si>
  <si>
    <t>https://aviationbenefits.org/media/167417/w2050_v2021_27sept_full.pdf</t>
  </si>
  <si>
    <t>pg 33</t>
  </si>
  <si>
    <t>2050 High Growth Scenario</t>
  </si>
  <si>
    <t>pre 2025 (TRL 9)</t>
  </si>
  <si>
    <t>https://missionpossiblepartnership.org/wp-content/uploads/2023/01/Making-Net-Zero-Aviation-possible.pdf</t>
  </si>
  <si>
    <t>pre 2025 (TRL 6-8)</t>
  </si>
  <si>
    <t>~ 2025 (TRL 5-6)</t>
  </si>
  <si>
    <t>~2040s (TRL 1-5)</t>
  </si>
  <si>
    <t>Estimate amended from 2030's according to WEF partners</t>
  </si>
  <si>
    <t>75-95%</t>
  </si>
  <si>
    <t>90-100%</t>
  </si>
  <si>
    <t>95-100%</t>
  </si>
  <si>
    <t>Maximum Range</t>
  </si>
  <si>
    <t>km</t>
  </si>
  <si>
    <t>100 - 1000</t>
  </si>
  <si>
    <t>Well -to-wake efficiency</t>
  </si>
  <si>
    <t>~15%</t>
  </si>
  <si>
    <t>~25%</t>
  </si>
  <si>
    <t>~60%</t>
  </si>
  <si>
    <t>Est. TCO vs. Reference ATF</t>
  </si>
  <si>
    <t>300-400%</t>
  </si>
  <si>
    <t>400-550%</t>
  </si>
  <si>
    <t>400-1000%</t>
  </si>
  <si>
    <t>https://missionpossiblepartnership.org/wp-content/uploads/2023/01/ATSInfographics.pdf</t>
  </si>
  <si>
    <t>Share of Global Fleet Capacity (on a tonnage basis)</t>
  </si>
  <si>
    <t>300-370</t>
  </si>
  <si>
    <t xml:space="preserve">https://www.ieabioenergy.com/wp-content/uploads/2020/02/T41_CostReductionBiofuels-11_02_19-final.pdf </t>
  </si>
  <si>
    <t>45-60 EUR/MWh capital costs converted to USD Bn/EJ</t>
  </si>
  <si>
    <t>how to produce fuels and what infrastructure is needed</t>
  </si>
  <si>
    <t>Green H2 capacity required</t>
  </si>
  <si>
    <t>Page 58</t>
  </si>
  <si>
    <t>490 MT captured CO2 for PTL production in the prudent scenario</t>
  </si>
  <si>
    <t>Share of fuel in final ticket price</t>
  </si>
  <si>
    <t>Increase in fuel price for HEFA Lower</t>
  </si>
  <si>
    <t>Increase in fuel price for HEFA Higher</t>
  </si>
  <si>
    <t>Annual market value</t>
  </si>
  <si>
    <t>https://www.iata.org/contentassets/8d19e716636a47c184e7221c77563c93/finance-net-zero-roadmap.pdf</t>
  </si>
  <si>
    <t>Glossary</t>
  </si>
  <si>
    <t>Basic materials industry</t>
  </si>
  <si>
    <t>Companies involved in the extraction and processing of raw materials, and subject to commodity prices. Key industries include steel, cement, aluminium, and primary chemicals</t>
  </si>
  <si>
    <t>Carbon price</t>
  </si>
  <si>
    <t>Price that a company has to pay per tonne of CO2 emitted, includes carbon market mechanisms and government taxes</t>
  </si>
  <si>
    <t>Carbon capture, utilisation and storage (CCUS)</t>
  </si>
  <si>
    <t>The process of capturing CO2 emissions from  fuel  combustion,  industrial  processes  or  directly  from  the  atmosphere.  Captured  CO2 emissions can be stored in underground geological formations, onshore or offshore or used  as an input or feedstock to create products.</t>
  </si>
  <si>
    <t>Coke</t>
  </si>
  <si>
    <t>Coking coal is a grade of coal that is used as a reducing agent in steel production</t>
  </si>
  <si>
    <t>Commercial readiness</t>
  </si>
  <si>
    <t>Level 9 on the IEA TRL scale - used to indicate that a given technology is readily available on the market but requires further evolution to be competitive</t>
  </si>
  <si>
    <t>Commercial scale</t>
  </si>
  <si>
    <t>Refers to a production site based on a proven low-emission technology that has a comparable scale to traditional production sites. Need not be profitable / competitive</t>
  </si>
  <si>
    <t>EBIDTA</t>
  </si>
  <si>
    <t xml:space="preserve">Earnings Before Interest, Taxes, Depreciation, and Amortization - used in this report to indicate the profitability of an industry </t>
  </si>
  <si>
    <t>ESG</t>
  </si>
  <si>
    <t>Environmental, Social, and Governance - non-financial metrics used increasingly by the financial sector to access a company</t>
  </si>
  <si>
    <t>Green premium</t>
  </si>
  <si>
    <t>Refers to the additional cost from buying a green product over a traditional product. Used in this report as a key metric to measure how close an industry is to reaching net-zero</t>
  </si>
  <si>
    <t>Refers to the three key supporting types of facilities used to support the rollout of low-emission technology. Includes clean power, clean hydrogen, and carbon transport &amp; storage networks</t>
  </si>
  <si>
    <t>Low-emission</t>
  </si>
  <si>
    <t>Threshold of a given product emission intensity in 2050 based on the IEA Net Zero by 2050 scenario</t>
  </si>
  <si>
    <t>Low-emission Power</t>
  </si>
  <si>
    <t xml:space="preserve"> Includes estimates for power generation from bioenergy, geothermal, hydropower, solar PV, onshore windmills and offshore windmills, and nuclear power</t>
  </si>
  <si>
    <t>Natural gas</t>
  </si>
  <si>
    <t>Comprises gases occurring in deposits, whether liquefied or gaseous, consisting  mainly of methane. It includes both “non‐associated” gas originating from fields producing  hydrocarbons only in gaseous form, and “associated” gas produced in association with crude  oil </t>
  </si>
  <si>
    <t>Net Property Plant and Equipment. Property Plant and Equipment is the value of all physical assets that a business has purchased to run its business, and includes accumulated depreciation. Used in this report to contextualize the industry's required investments to transform it's asset base</t>
  </si>
  <si>
    <t>Oil production includes both conventional and unconventional oil. Petroleum products  include  refinery  gas,  ethane,  liquid  petroleum  gas,  aviation  gasoline,  motor  gasoline,  jet  fuels,  kerosene,  gas/diesel  oil,  heavy  fuel  oil,  naphtha,  white  spirit,  lubricants,  bitumen,  paraffin, waxes and petroleum coke.</t>
  </si>
  <si>
    <t xml:space="preserve">Short for Petroleum coke, a carbon rich solid material derived from oil refining. Used as a solid fossil fuel. </t>
  </si>
  <si>
    <t>Pilot scale</t>
  </si>
  <si>
    <t>Refers to a production site used to prove a technology at a relatively small scale</t>
  </si>
  <si>
    <t>Reduced-emission</t>
  </si>
  <si>
    <t>Threshold of a given product emission intensity in 2030 based on the IEA Net Zero by 2050 scenario</t>
  </si>
  <si>
    <t xml:space="preserve">Direct greenhouse emissions that occur from sources that are controlled or owned by an organization </t>
  </si>
  <si>
    <t>Indirect greenhouse emissions associated with the purchase of electricity, steam, heat, or cooling</t>
  </si>
  <si>
    <t>Scope 3</t>
  </si>
  <si>
    <t xml:space="preserve">Greenhouse emissions that are the result of activities from assets not owned or controlled by the reporting organization, but that the organization indirectly impacts in its value chain. </t>
  </si>
  <si>
    <t>TRL</t>
  </si>
  <si>
    <t xml:space="preserve">Technology readiness level - provides a snapshot in time of the level of maturity of a given technology within a defined scale. This report uses the IEA scale of 1  - 11 </t>
  </si>
  <si>
    <t>Weighted Average Cost of Capital - blended cost of capital of a firm, indicates the cost of borrowing</t>
  </si>
  <si>
    <t>Shipping - Readiness Data</t>
  </si>
  <si>
    <t>Trucking - Performance Data</t>
  </si>
  <si>
    <t>Trucking - Readiness Data</t>
  </si>
  <si>
    <t>Aviation- Performance Data</t>
  </si>
  <si>
    <t>Aviation - Readiness Data</t>
  </si>
  <si>
    <t>https://www.iea.org/energy-system/industry/steel</t>
  </si>
  <si>
    <t>Others including bio energy</t>
  </si>
  <si>
    <t>https://iea.blob.core.windows.net/assets/eb0c8ec1-3665-4959-97d0-187ceca189a8/Iron_and_Steel_Technology_Roadmap.pdf</t>
  </si>
  <si>
    <t>Sourced direct from BNEF</t>
  </si>
  <si>
    <t>Industry Commitments</t>
  </si>
  <si>
    <t>Level 0 - Unaware</t>
  </si>
  <si>
    <t>Level 1 - Aware</t>
  </si>
  <si>
    <t>Level 2 - Building Capacity</t>
  </si>
  <si>
    <t>Level 3 - Integrating into Operational Decision Making</t>
  </si>
  <si>
    <t>Level 4 - Strategic Assessment</t>
  </si>
  <si>
    <t>LSE - TPI</t>
  </si>
  <si>
    <t xml:space="preserve">https://www.transitionpathwayinitiative.org/sectors </t>
  </si>
  <si>
    <t>https://www.iea.org/energy-system/industry/cement</t>
  </si>
  <si>
    <t>Carbon Capture Capacity by 2050</t>
  </si>
  <si>
    <t>CAPEX/Unit (Lower)</t>
  </si>
  <si>
    <t>CAPEX/Unit (Upper)</t>
  </si>
  <si>
    <t>CAPEX/ Unit (Upper)</t>
  </si>
  <si>
    <t>Total CAPEX required (Upper)</t>
  </si>
  <si>
    <t>Total Brownfield CAPEX (Upper)</t>
  </si>
  <si>
    <t>Total Brownfield CAPEX (Lower)</t>
  </si>
  <si>
    <t>Renewables (incl hydropower)</t>
  </si>
  <si>
    <t>https://international-aluminium.org/statistics/primary-aluminium-smelting-power-consumption/</t>
  </si>
  <si>
    <t xml:space="preserve">Value </t>
  </si>
  <si>
    <t>CAPEX/Unit  (Lower)</t>
  </si>
  <si>
    <t>Total investment required (Upper)</t>
  </si>
  <si>
    <t>Total investment required (Lower)</t>
  </si>
  <si>
    <t>CAPEX / unit (Lower)</t>
  </si>
  <si>
    <t>CAPEX  / unit (Upper)</t>
  </si>
  <si>
    <t>CO2 Transport and  Storage for Refineries</t>
  </si>
  <si>
    <t>NOTE: Oil and Gas figures may need to be combined to correlate with the Tracker 2023 reported figures</t>
  </si>
  <si>
    <t>CO2 Transport and  Storage</t>
  </si>
  <si>
    <t xml:space="preserve"> CAPEX/Unit (Lower)</t>
  </si>
  <si>
    <t>Share of Global Fleet</t>
  </si>
  <si>
    <t>Share of Global Fleet (on a tonnage basis)</t>
  </si>
  <si>
    <t xml:space="preserve">Investments required in low CO2 power generation </t>
  </si>
  <si>
    <t>CAPEX/unit (Lower)</t>
  </si>
  <si>
    <t>Investment required in charging and refuelling (Upper)</t>
  </si>
  <si>
    <t>Investment required in charging and refuelling (Lower)</t>
  </si>
  <si>
    <t>Investments required (Upper)</t>
  </si>
  <si>
    <t>Investments required (Lower)</t>
  </si>
  <si>
    <t>Investment required in bunkering (Upper)</t>
  </si>
  <si>
    <t>Investment required in bunkering (Lower)</t>
  </si>
  <si>
    <t>Capacity required</t>
  </si>
  <si>
    <t xml:space="preserve">Accenture </t>
  </si>
  <si>
    <t>3-15%</t>
  </si>
  <si>
    <t>https://missionpossiblepartnership.org/action-sectors/aviation/</t>
  </si>
  <si>
    <t>Estimated 2050 Net Zero Scenario</t>
  </si>
  <si>
    <t>Efficiency Improvements</t>
  </si>
  <si>
    <t>FT and ATJ</t>
  </si>
  <si>
    <t>Battery electric</t>
  </si>
  <si>
    <t>NOTE: Sources and figures at time of analysis</t>
  </si>
  <si>
    <t>GTCO2e</t>
  </si>
  <si>
    <t>https://www.iea.org/search/charts?q=cement</t>
  </si>
  <si>
    <t>https://www.iea.org/search/charts?q=aluminium</t>
  </si>
  <si>
    <t>https://www.iea.org/search/charts?q=ammonia&amp;page=1</t>
  </si>
  <si>
    <t>See Industry performance tabs</t>
  </si>
  <si>
    <t>EMISSIONS INTENSITY TRAJECTORY 2019-2050</t>
  </si>
  <si>
    <t>ABSOLUTE EMISSIONS TRAJECTORY 2019-2050</t>
  </si>
  <si>
    <t>TCO2/T</t>
  </si>
  <si>
    <t>gCO2/RPK, gCO2/tnm, gCO2/tnm</t>
  </si>
  <si>
    <t>https://www.iea.org/search/charts?q=steel</t>
  </si>
  <si>
    <t>PROJECTED DEMAND INCREASE 2021-2050 IN BAU AND NET ZERO SCENARIOS</t>
  </si>
  <si>
    <t>%age increase</t>
  </si>
  <si>
    <t>mboe/d</t>
  </si>
  <si>
    <t>ENABLING INFRASTRUCTURE INVESTMENTS REQUIRED BY 2050</t>
  </si>
  <si>
    <t>($bn)</t>
  </si>
  <si>
    <t>See Industry readiness tabs</t>
  </si>
  <si>
    <t>AVERAGE B2B AND B2C GREEN PREMIUM BY SECTOR</t>
  </si>
  <si>
    <t>(%)</t>
  </si>
  <si>
    <t xml:space="preserve">ADDITIONAL ANNUAL CAPEX REQUIRED VS BAU CAPEX </t>
  </si>
  <si>
    <t>Total (annual)</t>
  </si>
  <si>
    <t xml:space="preserve">Units </t>
  </si>
  <si>
    <t>($) billion</t>
  </si>
  <si>
    <t>See industry readiness tabs</t>
  </si>
  <si>
    <t>Operational CO2 emissions</t>
  </si>
  <si>
    <t>Fuel value chain emissions</t>
  </si>
  <si>
    <t>Comment</t>
  </si>
  <si>
    <t>Converted from billion litres</t>
  </si>
  <si>
    <t>Converted from GWh</t>
  </si>
  <si>
    <t>Indexed numbers</t>
  </si>
  <si>
    <t>Based on indexed numbers to derive a trend. Not representative of TCO2 values. The index value is 100 for base year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</si>
</sst>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0.000"/>
    <numFmt numFmtId="168" formatCode="_(* #,##0_);_(* \(#,##0\);_(* &quot;-&quot;??_);_(@_)"/>
    <numFmt numFmtId="169" formatCode="0.0000"/>
    <numFmt numFmtId="170" formatCode="0.000%"/>
    <numFmt numFmtId="171" formatCode="_(* #,##0.000_);_(* \(#,##0.000\);_(* &quot;-&quot;??_);_(@_)"/>
  </numFmts>
  <fonts count="22">
    <font>
      <sz val="11"/>
      <color theme="1"/>
      <name val="Calibri"/>
      <family val="2"/>
      <scheme val="minor"/>
    </font>
    <font>
      <sz val="11"/>
      <color theme="0"/>
      <name val="Calibri"/>
      <family val="2"/>
      <scheme val="minor"/>
    </font>
    <font>
      <b/>
      <sz val="14"/>
      <color theme="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Graphik"/>
      <family val="2"/>
    </font>
    <font>
      <b/>
      <sz val="10"/>
      <color theme="1"/>
      <name val="Graphik"/>
      <family val="2"/>
    </font>
    <font>
      <i/>
      <sz val="11"/>
      <color theme="1"/>
      <name val="Calibri"/>
      <family val="2"/>
      <scheme val="minor"/>
    </font>
    <font>
      <sz val="11"/>
      <name val="Calibri"/>
      <family val="2"/>
      <scheme val="minor"/>
    </font>
    <font>
      <u/>
      <sz val="11"/>
      <color theme="10"/>
      <name val="Calibri"/>
      <family val="2"/>
      <scheme val="minor"/>
    </font>
    <font>
      <sz val="9"/>
      <name val="Arial"/>
      <family val="2"/>
    </font>
    <font>
      <b/>
      <sz val="9"/>
      <name val="Arial"/>
      <family val="2"/>
    </font>
    <font>
      <i/>
      <u/>
      <sz val="11"/>
      <color theme="10"/>
      <name val="Calibri"/>
      <family val="2"/>
      <scheme val="minor"/>
    </font>
    <font>
      <sz val="9"/>
      <color rgb="FF000000"/>
      <name val="Arial"/>
      <family val="2"/>
    </font>
    <font>
      <vertAlign val="subscript"/>
      <sz val="9"/>
      <color rgb="FF000000"/>
      <name val="Arial"/>
      <family val="2"/>
    </font>
    <font>
      <sz val="8"/>
      <name val="Calibri"/>
      <family val="2"/>
      <scheme val="minor"/>
    </font>
    <font>
      <b/>
      <u/>
      <sz val="11"/>
      <color theme="1"/>
      <name val="Calibri"/>
      <family val="2"/>
      <scheme val="minor"/>
    </font>
    <font>
      <b/>
      <sz val="11"/>
      <name val="Arial"/>
      <family val="2"/>
    </font>
    <font>
      <b/>
      <sz val="11"/>
      <name val="Calibri"/>
      <family val="2"/>
      <scheme val="minor"/>
    </font>
    <font>
      <sz val="10"/>
      <color rgb="FF000000"/>
      <name val="Times New Roman"/>
      <family val="1"/>
    </font>
    <font>
      <i/>
      <sz val="1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7030A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D9D9D9"/>
        <bgColor indexed="64"/>
      </patternFill>
    </fill>
    <fill>
      <patternFill patternType="solid">
        <fgColor theme="9" tint="0.59999389629810485"/>
        <bgColor indexed="64"/>
      </patternFill>
    </fill>
    <fill>
      <patternFill patternType="solid">
        <fgColor rgb="FFCBA9E5"/>
        <bgColor indexed="64"/>
      </patternFill>
    </fill>
    <fill>
      <patternFill patternType="solid">
        <fgColor theme="7"/>
        <bgColor indexed="64"/>
      </patternFill>
    </fill>
    <fill>
      <patternFill patternType="solid">
        <fgColor theme="2" tint="-9.9978637043366805E-2"/>
        <bgColor indexed="64"/>
      </patternFill>
    </fill>
    <fill>
      <patternFill patternType="solid">
        <fgColor theme="8" tint="-0.499984740745262"/>
        <bgColor indexed="64"/>
      </patternFill>
    </fill>
  </fills>
  <borders count="6">
    <border>
      <left/>
      <right/>
      <top/>
      <bottom/>
      <diagonal/>
    </border>
    <border>
      <left/>
      <right/>
      <top/>
      <bottom style="medium">
        <color indexed="64"/>
      </bottom>
      <diagonal/>
    </border>
    <border>
      <left style="thin">
        <color indexed="64"/>
      </left>
      <right/>
      <top/>
      <bottom/>
      <diagonal/>
    </border>
    <border>
      <left/>
      <right/>
      <top style="thin">
        <color indexed="64"/>
      </top>
      <bottom/>
      <diagonal/>
    </border>
    <border>
      <left/>
      <right style="medium">
        <color theme="0" tint="-0.499984740745262"/>
      </right>
      <top/>
      <bottom/>
      <diagonal/>
    </border>
    <border>
      <left/>
      <right/>
      <top/>
      <bottom style="thin">
        <color indexed="64"/>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9" fillId="0" borderId="0"/>
    <xf numFmtId="0" fontId="10" fillId="0" borderId="0" applyNumberFormat="0" applyFill="0" applyBorder="0" applyAlignment="0" applyProtection="0"/>
    <xf numFmtId="0" fontId="20"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6">
    <xf numFmtId="0" fontId="0" fillId="0" borderId="0" xfId="0"/>
    <xf numFmtId="0" fontId="0" fillId="2" borderId="0" xfId="0" applyFill="1"/>
    <xf numFmtId="0" fontId="0" fillId="2" borderId="0" xfId="0" applyFill="1" applyAlignment="1">
      <alignment horizontal="left"/>
    </xf>
    <xf numFmtId="0" fontId="1" fillId="2" borderId="0" xfId="0" applyFont="1" applyFill="1"/>
    <xf numFmtId="0" fontId="0" fillId="2" borderId="1" xfId="0" applyFill="1" applyBorder="1"/>
    <xf numFmtId="0" fontId="0" fillId="2" borderId="1" xfId="0" applyFill="1" applyBorder="1" applyAlignment="1">
      <alignment horizontal="left"/>
    </xf>
    <xf numFmtId="0" fontId="6" fillId="0" borderId="0" xfId="0" applyFont="1"/>
    <xf numFmtId="0" fontId="7" fillId="3" borderId="0" xfId="0" applyFont="1" applyFill="1" applyAlignment="1">
      <alignment horizontal="left" vertical="center" wrapText="1"/>
    </xf>
    <xf numFmtId="0" fontId="5" fillId="0" borderId="0" xfId="0" applyFont="1"/>
    <xf numFmtId="0" fontId="5" fillId="0" borderId="0" xfId="0" applyFont="1" applyAlignment="1">
      <alignment horizontal="right"/>
    </xf>
    <xf numFmtId="2" fontId="0" fillId="0" borderId="0" xfId="0" applyNumberFormat="1"/>
    <xf numFmtId="0" fontId="8" fillId="0" borderId="0" xfId="0" applyFont="1"/>
    <xf numFmtId="9" fontId="0" fillId="0" borderId="0" xfId="2" applyFont="1"/>
    <xf numFmtId="0" fontId="4" fillId="4" borderId="0" xfId="0" applyFont="1" applyFill="1"/>
    <xf numFmtId="0" fontId="1" fillId="4" borderId="0" xfId="0" applyFont="1" applyFill="1"/>
    <xf numFmtId="0" fontId="10" fillId="0" borderId="0" xfId="4"/>
    <xf numFmtId="1" fontId="0" fillId="0" borderId="0" xfId="0" applyNumberFormat="1"/>
    <xf numFmtId="9" fontId="0" fillId="0" borderId="0" xfId="0" applyNumberFormat="1"/>
    <xf numFmtId="0" fontId="0" fillId="4" borderId="0" xfId="0" applyFill="1"/>
    <xf numFmtId="0" fontId="4" fillId="2" borderId="0" xfId="0" applyFont="1" applyFill="1"/>
    <xf numFmtId="0" fontId="0" fillId="0" borderId="0" xfId="0" applyAlignment="1">
      <alignment horizontal="left" indent="1"/>
    </xf>
    <xf numFmtId="0" fontId="0" fillId="0" borderId="0" xfId="0" applyAlignment="1">
      <alignment horizontal="left"/>
    </xf>
    <xf numFmtId="0" fontId="0" fillId="0" borderId="0" xfId="0" quotePrefix="1"/>
    <xf numFmtId="0" fontId="0" fillId="0" borderId="0" xfId="0" applyAlignment="1">
      <alignment horizontal="right"/>
    </xf>
    <xf numFmtId="0" fontId="4" fillId="2" borderId="0" xfId="0" applyFont="1" applyFill="1" applyAlignment="1">
      <alignment horizontal="left"/>
    </xf>
    <xf numFmtId="0" fontId="5" fillId="0" borderId="0" xfId="0" applyFont="1" applyAlignment="1">
      <alignment horizontal="left"/>
    </xf>
    <xf numFmtId="0" fontId="12" fillId="0" borderId="0" xfId="0" applyFont="1" applyAlignment="1">
      <alignment horizontal="left" vertical="center" readingOrder="1"/>
    </xf>
    <xf numFmtId="0" fontId="0" fillId="0" borderId="0" xfId="0" quotePrefix="1" applyAlignment="1">
      <alignment horizontal="left"/>
    </xf>
    <xf numFmtId="0" fontId="0" fillId="0" borderId="0" xfId="0" applyAlignment="1">
      <alignment horizontal="left" indent="2"/>
    </xf>
    <xf numFmtId="1" fontId="0" fillId="0" borderId="0" xfId="0" applyNumberFormat="1" applyAlignment="1">
      <alignment horizontal="left" indent="1"/>
    </xf>
    <xf numFmtId="1" fontId="0" fillId="0" borderId="0" xfId="0" applyNumberFormat="1" applyAlignment="1">
      <alignment horizontal="left" wrapText="1" indent="1"/>
    </xf>
    <xf numFmtId="0" fontId="0" fillId="0" borderId="0" xfId="0" applyAlignment="1">
      <alignment horizontal="left" wrapText="1"/>
    </xf>
    <xf numFmtId="0" fontId="5" fillId="0" borderId="0" xfId="0" applyFont="1" applyAlignment="1">
      <alignment horizontal="left" vertical="top"/>
    </xf>
    <xf numFmtId="0" fontId="8" fillId="0" borderId="0" xfId="0" applyFont="1" applyAlignment="1">
      <alignment horizontal="right"/>
    </xf>
    <xf numFmtId="0" fontId="10" fillId="0" borderId="0" xfId="4" applyAlignment="1">
      <alignment horizontal="left" vertical="center" readingOrder="1"/>
    </xf>
    <xf numFmtId="0" fontId="0" fillId="4" borderId="0" xfId="0" applyFill="1" applyAlignment="1">
      <alignment horizontal="left"/>
    </xf>
    <xf numFmtId="0" fontId="5" fillId="8" borderId="0" xfId="0" applyFont="1" applyFill="1"/>
    <xf numFmtId="0" fontId="5" fillId="8" borderId="3" xfId="0" applyFont="1" applyFill="1" applyBorder="1"/>
    <xf numFmtId="0" fontId="8" fillId="0" borderId="0" xfId="0" applyFont="1" applyAlignment="1">
      <alignment horizontal="left"/>
    </xf>
    <xf numFmtId="0" fontId="14" fillId="0" borderId="0" xfId="0" applyFont="1" applyAlignment="1">
      <alignment horizontal="left" vertical="center" indent="1" readingOrder="1"/>
    </xf>
    <xf numFmtId="1" fontId="0" fillId="0" borderId="0" xfId="0" applyNumberFormat="1" applyAlignment="1">
      <alignment horizontal="left"/>
    </xf>
    <xf numFmtId="1" fontId="0" fillId="0" borderId="0" xfId="0" applyNumberFormat="1" applyAlignment="1">
      <alignment horizontal="left" wrapText="1"/>
    </xf>
    <xf numFmtId="0" fontId="0" fillId="5" borderId="0" xfId="0" applyFill="1" applyAlignment="1">
      <alignment horizontal="left"/>
    </xf>
    <xf numFmtId="0" fontId="2" fillId="2" borderId="0" xfId="0" applyFont="1" applyFill="1" applyAlignment="1">
      <alignment horizontal="left"/>
    </xf>
    <xf numFmtId="9" fontId="0" fillId="0" borderId="0" xfId="0" applyNumberFormat="1" applyAlignment="1">
      <alignment horizontal="left"/>
    </xf>
    <xf numFmtId="9" fontId="0" fillId="5" borderId="0" xfId="2" applyFont="1" applyFill="1" applyAlignment="1">
      <alignment horizontal="left"/>
    </xf>
    <xf numFmtId="165" fontId="0" fillId="0" borderId="0" xfId="0" applyNumberFormat="1" applyAlignment="1">
      <alignment horizontal="left"/>
    </xf>
    <xf numFmtId="2" fontId="0" fillId="0" borderId="0" xfId="0" applyNumberFormat="1" applyAlignment="1">
      <alignment horizontal="left"/>
    </xf>
    <xf numFmtId="9" fontId="0" fillId="0" borderId="0" xfId="2" applyFont="1" applyFill="1" applyAlignment="1">
      <alignment horizontal="left"/>
    </xf>
    <xf numFmtId="165" fontId="0" fillId="5" borderId="0" xfId="0" applyNumberFormat="1" applyFill="1" applyAlignment="1">
      <alignment horizontal="left"/>
    </xf>
    <xf numFmtId="2" fontId="0" fillId="5" borderId="0" xfId="0" applyNumberFormat="1" applyFill="1" applyAlignment="1">
      <alignment horizontal="left"/>
    </xf>
    <xf numFmtId="0" fontId="10" fillId="0" borderId="0" xfId="4" applyAlignment="1">
      <alignment horizontal="left"/>
    </xf>
    <xf numFmtId="0" fontId="11" fillId="0" borderId="0" xfId="0" applyFont="1" applyAlignment="1">
      <alignment horizontal="left"/>
    </xf>
    <xf numFmtId="0" fontId="4" fillId="4" borderId="0" xfId="0" applyFont="1" applyFill="1" applyAlignment="1">
      <alignment horizontal="left"/>
    </xf>
    <xf numFmtId="9" fontId="0" fillId="0" borderId="0" xfId="0" quotePrefix="1" applyNumberFormat="1" applyAlignment="1">
      <alignment horizontal="left"/>
    </xf>
    <xf numFmtId="1" fontId="0" fillId="5" borderId="0" xfId="0" applyNumberFormat="1" applyFill="1" applyAlignment="1">
      <alignment horizontal="left"/>
    </xf>
    <xf numFmtId="0" fontId="0" fillId="6" borderId="0" xfId="0" applyFill="1" applyAlignment="1">
      <alignment horizontal="left"/>
    </xf>
    <xf numFmtId="1" fontId="5" fillId="5" borderId="0" xfId="0" applyNumberFormat="1" applyFont="1" applyFill="1" applyAlignment="1">
      <alignment horizontal="left"/>
    </xf>
    <xf numFmtId="166" fontId="0" fillId="0" borderId="0" xfId="0" applyNumberFormat="1" applyAlignment="1">
      <alignment horizontal="left"/>
    </xf>
    <xf numFmtId="10" fontId="0" fillId="0" borderId="0" xfId="0" applyNumberFormat="1" applyAlignment="1">
      <alignment horizontal="left"/>
    </xf>
    <xf numFmtId="0" fontId="10" fillId="0" borderId="0" xfId="4" quotePrefix="1" applyAlignment="1">
      <alignment horizontal="left"/>
    </xf>
    <xf numFmtId="0" fontId="10" fillId="0" borderId="0" xfId="4" applyBorder="1" applyAlignment="1">
      <alignment horizontal="left"/>
    </xf>
    <xf numFmtId="0" fontId="0" fillId="0" borderId="4" xfId="0" applyBorder="1" applyAlignment="1">
      <alignment horizontal="left"/>
    </xf>
    <xf numFmtId="0" fontId="13" fillId="0" borderId="0" xfId="4" applyFont="1" applyAlignment="1">
      <alignment horizontal="left"/>
    </xf>
    <xf numFmtId="165" fontId="0" fillId="6" borderId="0" xfId="0" applyNumberFormat="1" applyFill="1" applyAlignment="1">
      <alignment horizontal="left"/>
    </xf>
    <xf numFmtId="16" fontId="0" fillId="0" borderId="0" xfId="0" applyNumberFormat="1" applyAlignment="1">
      <alignment horizontal="left"/>
    </xf>
    <xf numFmtId="9" fontId="0" fillId="6" borderId="0" xfId="0" applyNumberFormat="1" applyFill="1" applyAlignment="1">
      <alignment horizontal="left"/>
    </xf>
    <xf numFmtId="1" fontId="0" fillId="9" borderId="0" xfId="0" applyNumberFormat="1" applyFill="1" applyAlignment="1">
      <alignment horizontal="left"/>
    </xf>
    <xf numFmtId="9" fontId="0" fillId="5" borderId="0" xfId="0" applyNumberFormat="1" applyFill="1" applyAlignment="1">
      <alignment horizontal="left"/>
    </xf>
    <xf numFmtId="9" fontId="0" fillId="0" borderId="0" xfId="2" applyFont="1" applyAlignment="1">
      <alignment horizontal="left"/>
    </xf>
    <xf numFmtId="17" fontId="0" fillId="0" borderId="0" xfId="0" applyNumberFormat="1" applyAlignment="1">
      <alignment horizontal="left"/>
    </xf>
    <xf numFmtId="164" fontId="0" fillId="0" borderId="0" xfId="1" applyFont="1" applyAlignment="1">
      <alignment horizontal="left"/>
    </xf>
    <xf numFmtId="165" fontId="0" fillId="5" borderId="0" xfId="1" applyNumberFormat="1" applyFont="1" applyFill="1" applyAlignment="1">
      <alignment horizontal="left"/>
    </xf>
    <xf numFmtId="49" fontId="0" fillId="0" borderId="0" xfId="0" applyNumberFormat="1" applyAlignment="1">
      <alignment horizontal="left"/>
    </xf>
    <xf numFmtId="10" fontId="0" fillId="5" borderId="0" xfId="0" applyNumberFormat="1" applyFill="1" applyAlignment="1">
      <alignment horizontal="left"/>
    </xf>
    <xf numFmtId="165" fontId="0" fillId="6" borderId="0" xfId="1" applyNumberFormat="1" applyFont="1" applyFill="1" applyAlignment="1">
      <alignment horizontal="left"/>
    </xf>
    <xf numFmtId="1" fontId="0" fillId="6" borderId="0" xfId="1" applyNumberFormat="1" applyFont="1" applyFill="1" applyAlignment="1">
      <alignment horizontal="left"/>
    </xf>
    <xf numFmtId="9" fontId="0" fillId="7" borderId="0" xfId="0" applyNumberFormat="1" applyFill="1" applyAlignment="1">
      <alignment horizontal="left"/>
    </xf>
    <xf numFmtId="166" fontId="0" fillId="5" borderId="0" xfId="2" applyNumberFormat="1" applyFont="1" applyFill="1" applyAlignment="1">
      <alignment horizontal="left"/>
    </xf>
    <xf numFmtId="1" fontId="0" fillId="7" borderId="0" xfId="0" applyNumberFormat="1" applyFill="1" applyAlignment="1">
      <alignment horizontal="left"/>
    </xf>
    <xf numFmtId="166" fontId="0" fillId="0" borderId="0" xfId="2" applyNumberFormat="1" applyFont="1" applyAlignment="1">
      <alignment horizontal="left"/>
    </xf>
    <xf numFmtId="2" fontId="0" fillId="0" borderId="0" xfId="1" applyNumberFormat="1" applyFont="1" applyFill="1" applyAlignment="1">
      <alignment horizontal="left"/>
    </xf>
    <xf numFmtId="1" fontId="0" fillId="0" borderId="0" xfId="1" applyNumberFormat="1" applyFont="1" applyFill="1" applyAlignment="1">
      <alignment horizontal="left"/>
    </xf>
    <xf numFmtId="0" fontId="0" fillId="10" borderId="0" xfId="0" applyFill="1"/>
    <xf numFmtId="165" fontId="0" fillId="0" borderId="0" xfId="0" quotePrefix="1" applyNumberFormat="1" applyAlignment="1">
      <alignment horizontal="left"/>
    </xf>
    <xf numFmtId="2" fontId="0" fillId="6" borderId="0" xfId="0" applyNumberFormat="1" applyFill="1" applyAlignment="1">
      <alignment horizontal="left"/>
    </xf>
    <xf numFmtId="0" fontId="10" fillId="0" borderId="0" xfId="4" applyBorder="1"/>
    <xf numFmtId="2" fontId="0" fillId="5" borderId="0" xfId="1" applyNumberFormat="1" applyFont="1" applyFill="1" applyBorder="1" applyAlignment="1">
      <alignment horizontal="left"/>
    </xf>
    <xf numFmtId="0" fontId="10" fillId="0" borderId="0" xfId="4" applyAlignment="1">
      <alignment vertical="center"/>
    </xf>
    <xf numFmtId="9" fontId="0" fillId="0" borderId="0" xfId="1" applyNumberFormat="1" applyFont="1" applyFill="1" applyAlignment="1">
      <alignment horizontal="left"/>
    </xf>
    <xf numFmtId="0" fontId="17" fillId="0" borderId="0" xfId="0" applyFont="1"/>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0" fillId="11" borderId="0" xfId="0" applyFill="1" applyAlignment="1">
      <alignment horizontal="left"/>
    </xf>
    <xf numFmtId="0" fontId="0" fillId="11" borderId="0" xfId="0" applyFill="1"/>
    <xf numFmtId="1" fontId="0" fillId="11" borderId="0" xfId="0" applyNumberFormat="1" applyFill="1" applyAlignment="1">
      <alignment horizontal="left"/>
    </xf>
    <xf numFmtId="9" fontId="0" fillId="11" borderId="0" xfId="0" applyNumberFormat="1" applyFill="1" applyAlignment="1">
      <alignment horizontal="left"/>
    </xf>
    <xf numFmtId="166" fontId="0" fillId="11" borderId="0" xfId="2" applyNumberFormat="1" applyFont="1" applyFill="1" applyAlignment="1">
      <alignment horizontal="left"/>
    </xf>
    <xf numFmtId="165" fontId="0" fillId="11" borderId="0" xfId="0" applyNumberFormat="1" applyFill="1" applyAlignment="1">
      <alignment horizontal="left"/>
    </xf>
    <xf numFmtId="2" fontId="0" fillId="11" borderId="0" xfId="0" applyNumberFormat="1" applyFill="1" applyAlignment="1">
      <alignment horizontal="left"/>
    </xf>
    <xf numFmtId="9" fontId="0" fillId="11" borderId="0" xfId="0" quotePrefix="1" applyNumberFormat="1" applyFill="1" applyAlignment="1">
      <alignment horizontal="left"/>
    </xf>
    <xf numFmtId="166" fontId="0" fillId="11" borderId="0" xfId="0" applyNumberFormat="1" applyFill="1" applyAlignment="1">
      <alignment horizontal="left"/>
    </xf>
    <xf numFmtId="0" fontId="0" fillId="11" borderId="0" xfId="0" applyFill="1" applyAlignment="1">
      <alignment horizontal="left" indent="1"/>
    </xf>
    <xf numFmtId="9" fontId="0" fillId="5" borderId="0" xfId="2" applyFont="1" applyFill="1" applyBorder="1" applyAlignment="1">
      <alignment horizontal="left"/>
    </xf>
    <xf numFmtId="1" fontId="0" fillId="11" borderId="0" xfId="1" applyNumberFormat="1" applyFont="1" applyFill="1" applyAlignment="1">
      <alignment horizontal="left"/>
    </xf>
    <xf numFmtId="9" fontId="0" fillId="11" borderId="0" xfId="2" applyFont="1" applyFill="1" applyAlignment="1">
      <alignment horizontal="left"/>
    </xf>
    <xf numFmtId="10" fontId="0" fillId="11" borderId="0" xfId="0" applyNumberFormat="1" applyFill="1" applyAlignment="1">
      <alignment horizontal="left"/>
    </xf>
    <xf numFmtId="10" fontId="0" fillId="11" borderId="0" xfId="2" applyNumberFormat="1" applyFont="1" applyFill="1" applyAlignment="1">
      <alignment horizontal="left"/>
    </xf>
    <xf numFmtId="3" fontId="0" fillId="0" borderId="0" xfId="0" applyNumberFormat="1" applyAlignment="1">
      <alignment horizontal="left"/>
    </xf>
    <xf numFmtId="10" fontId="10" fillId="0" borderId="0" xfId="2" applyNumberFormat="1" applyFont="1" applyAlignment="1">
      <alignment horizontal="left"/>
    </xf>
    <xf numFmtId="0" fontId="8" fillId="11" borderId="0" xfId="0" applyFont="1" applyFill="1" applyAlignment="1">
      <alignment horizontal="left"/>
    </xf>
    <xf numFmtId="1" fontId="9" fillId="11" borderId="0" xfId="0" applyNumberFormat="1" applyFont="1" applyFill="1" applyAlignment="1">
      <alignment horizontal="left"/>
    </xf>
    <xf numFmtId="165" fontId="0" fillId="11" borderId="0" xfId="1" applyNumberFormat="1" applyFont="1" applyFill="1" applyAlignment="1">
      <alignment horizontal="left"/>
    </xf>
    <xf numFmtId="1" fontId="0" fillId="11" borderId="0" xfId="1" applyNumberFormat="1" applyFont="1" applyFill="1" applyBorder="1" applyAlignment="1">
      <alignment horizontal="left"/>
    </xf>
    <xf numFmtId="0" fontId="4" fillId="2" borderId="0" xfId="0" applyFont="1" applyFill="1" applyAlignment="1">
      <alignment horizontal="left" vertical="center"/>
    </xf>
    <xf numFmtId="0" fontId="0" fillId="11" borderId="0" xfId="0" quotePrefix="1" applyFill="1" applyAlignment="1">
      <alignment horizontal="left"/>
    </xf>
    <xf numFmtId="0" fontId="10" fillId="0" borderId="0" xfId="4" applyFill="1" applyAlignment="1">
      <alignment horizontal="left"/>
    </xf>
    <xf numFmtId="0" fontId="1" fillId="0" borderId="0" xfId="0" applyFont="1"/>
    <xf numFmtId="0" fontId="0" fillId="12" borderId="0" xfId="0" applyFill="1"/>
    <xf numFmtId="167" fontId="0" fillId="5" borderId="0" xfId="0" applyNumberFormat="1" applyFill="1" applyAlignment="1">
      <alignment horizontal="left"/>
    </xf>
    <xf numFmtId="167" fontId="0" fillId="11" borderId="0" xfId="0" applyNumberFormat="1" applyFill="1" applyAlignment="1">
      <alignment horizontal="left"/>
    </xf>
    <xf numFmtId="168" fontId="0" fillId="11" borderId="0" xfId="1" applyNumberFormat="1" applyFont="1" applyFill="1" applyAlignment="1">
      <alignment horizontal="left"/>
    </xf>
    <xf numFmtId="165" fontId="0" fillId="0" borderId="0" xfId="0" applyNumberFormat="1"/>
    <xf numFmtId="10" fontId="0" fillId="5" borderId="0" xfId="2" applyNumberFormat="1" applyFont="1" applyFill="1" applyAlignment="1">
      <alignment horizontal="left"/>
    </xf>
    <xf numFmtId="168" fontId="0" fillId="11" borderId="0" xfId="0" applyNumberFormat="1" applyFill="1" applyAlignment="1">
      <alignment horizontal="left"/>
    </xf>
    <xf numFmtId="167" fontId="0" fillId="0" borderId="0" xfId="0" applyNumberFormat="1" applyAlignment="1">
      <alignment horizontal="left"/>
    </xf>
    <xf numFmtId="3" fontId="0" fillId="5" borderId="0" xfId="0" applyNumberFormat="1" applyFill="1" applyAlignment="1">
      <alignment horizontal="left"/>
    </xf>
    <xf numFmtId="9" fontId="0" fillId="0" borderId="0" xfId="0" applyNumberFormat="1" applyAlignment="1">
      <alignment horizontal="left" indent="1"/>
    </xf>
    <xf numFmtId="165" fontId="0" fillId="5" borderId="0" xfId="1" applyNumberFormat="1" applyFont="1" applyFill="1" applyBorder="1" applyAlignment="1">
      <alignment horizontal="left"/>
    </xf>
    <xf numFmtId="3" fontId="0" fillId="11" borderId="0" xfId="0" applyNumberFormat="1" applyFill="1" applyAlignment="1">
      <alignment horizontal="right"/>
    </xf>
    <xf numFmtId="0" fontId="3" fillId="0" borderId="0" xfId="4" applyFont="1" applyAlignment="1">
      <alignment horizontal="left"/>
    </xf>
    <xf numFmtId="0" fontId="0" fillId="3" borderId="0" xfId="0" applyFill="1" applyAlignment="1">
      <alignment horizontal="left"/>
    </xf>
    <xf numFmtId="2" fontId="0" fillId="0" borderId="0" xfId="0" applyNumberFormat="1" applyAlignment="1">
      <alignment horizontal="left" indent="1"/>
    </xf>
    <xf numFmtId="0" fontId="0" fillId="13" borderId="0" xfId="0" applyFill="1"/>
    <xf numFmtId="0" fontId="8" fillId="13" borderId="0" xfId="0" applyFont="1" applyFill="1" applyAlignment="1">
      <alignment horizontal="left"/>
    </xf>
    <xf numFmtId="0" fontId="0" fillId="13" borderId="0" xfId="0" applyFill="1" applyAlignment="1">
      <alignment horizontal="left"/>
    </xf>
    <xf numFmtId="0" fontId="10" fillId="13" borderId="0" xfId="4" applyFill="1" applyAlignment="1">
      <alignment horizontal="left"/>
    </xf>
    <xf numFmtId="0" fontId="0" fillId="13" borderId="0" xfId="0" applyFill="1" applyAlignment="1">
      <alignment horizontal="left" indent="1"/>
    </xf>
    <xf numFmtId="0" fontId="11" fillId="13" borderId="0" xfId="0" applyFont="1" applyFill="1" applyAlignment="1">
      <alignment horizontal="left"/>
    </xf>
    <xf numFmtId="0" fontId="10" fillId="13" borderId="0" xfId="4" quotePrefix="1" applyFill="1" applyAlignment="1">
      <alignment horizontal="left"/>
    </xf>
    <xf numFmtId="2" fontId="0" fillId="13" borderId="0" xfId="0" applyNumberFormat="1" applyFill="1" applyAlignment="1">
      <alignment horizontal="left"/>
    </xf>
    <xf numFmtId="9" fontId="8" fillId="13" borderId="0" xfId="0" applyNumberFormat="1" applyFont="1" applyFill="1" applyAlignment="1">
      <alignment horizontal="left"/>
    </xf>
    <xf numFmtId="9" fontId="0" fillId="13" borderId="0" xfId="0" applyNumberFormat="1" applyFill="1"/>
    <xf numFmtId="10" fontId="0" fillId="13" borderId="0" xfId="0" applyNumberFormat="1" applyFill="1"/>
    <xf numFmtId="0" fontId="0" fillId="3" borderId="0" xfId="0" applyFill="1"/>
    <xf numFmtId="0" fontId="10" fillId="3" borderId="0" xfId="4" applyFill="1" applyBorder="1"/>
    <xf numFmtId="0" fontId="10" fillId="3" borderId="0" xfId="4" applyFill="1" applyBorder="1" applyAlignment="1">
      <alignment horizontal="left"/>
    </xf>
    <xf numFmtId="0" fontId="0" fillId="3" borderId="0" xfId="0" applyFill="1" applyAlignment="1">
      <alignment horizontal="left" indent="1"/>
    </xf>
    <xf numFmtId="0" fontId="8" fillId="3" borderId="0" xfId="0" applyFont="1" applyFill="1" applyAlignment="1">
      <alignment horizontal="left"/>
    </xf>
    <xf numFmtId="1" fontId="0" fillId="3" borderId="0" xfId="0" applyNumberFormat="1" applyFill="1" applyAlignment="1">
      <alignment horizontal="left"/>
    </xf>
    <xf numFmtId="9" fontId="0" fillId="3" borderId="0" xfId="0" applyNumberFormat="1" applyFill="1" applyAlignment="1">
      <alignment horizontal="left"/>
    </xf>
    <xf numFmtId="9" fontId="0" fillId="3" borderId="0" xfId="2" applyFont="1" applyFill="1" applyBorder="1" applyAlignment="1">
      <alignment horizontal="left"/>
    </xf>
    <xf numFmtId="165" fontId="0" fillId="3" borderId="0" xfId="0" applyNumberFormat="1" applyFill="1" applyAlignment="1">
      <alignment horizontal="left" indent="1"/>
    </xf>
    <xf numFmtId="165" fontId="0" fillId="3" borderId="0" xfId="0" applyNumberFormat="1" applyFill="1" applyAlignment="1">
      <alignment horizontal="left"/>
    </xf>
    <xf numFmtId="9" fontId="0" fillId="3" borderId="0" xfId="2" applyFont="1" applyFill="1" applyBorder="1" applyAlignment="1">
      <alignment horizontal="left" indent="1"/>
    </xf>
    <xf numFmtId="0" fontId="10" fillId="3" borderId="0" xfId="4" applyFill="1" applyBorder="1" applyAlignment="1">
      <alignment horizontal="left" wrapText="1"/>
    </xf>
    <xf numFmtId="0" fontId="0" fillId="3" borderId="0" xfId="0" applyFill="1" applyAlignment="1">
      <alignment horizontal="left" wrapText="1"/>
    </xf>
    <xf numFmtId="2" fontId="0" fillId="3" borderId="0" xfId="0" applyNumberFormat="1" applyFill="1" applyAlignment="1">
      <alignment horizontal="left"/>
    </xf>
    <xf numFmtId="0" fontId="0" fillId="3" borderId="0" xfId="0" quotePrefix="1" applyFill="1" applyAlignment="1">
      <alignment horizontal="left"/>
    </xf>
    <xf numFmtId="0" fontId="10" fillId="3" borderId="0" xfId="4" quotePrefix="1" applyFill="1" applyBorder="1" applyAlignment="1">
      <alignment horizontal="left"/>
    </xf>
    <xf numFmtId="9" fontId="0" fillId="3" borderId="0" xfId="0" applyNumberFormat="1" applyFill="1" applyAlignment="1">
      <alignment horizontal="left" indent="1"/>
    </xf>
    <xf numFmtId="0" fontId="5" fillId="3" borderId="0" xfId="0" applyFont="1" applyFill="1" applyAlignment="1">
      <alignment horizontal="right"/>
    </xf>
    <xf numFmtId="0" fontId="5" fillId="3" borderId="0" xfId="0" applyFont="1" applyFill="1" applyAlignment="1">
      <alignment horizontal="left"/>
    </xf>
    <xf numFmtId="0" fontId="10" fillId="3" borderId="0" xfId="4" applyFill="1"/>
    <xf numFmtId="0" fontId="10" fillId="3" borderId="0" xfId="4" applyFill="1" applyAlignment="1">
      <alignment horizontal="left"/>
    </xf>
    <xf numFmtId="9" fontId="0" fillId="3" borderId="0" xfId="2" applyFont="1" applyFill="1" applyAlignment="1">
      <alignment horizontal="left"/>
    </xf>
    <xf numFmtId="0" fontId="12" fillId="3" borderId="0" xfId="0" applyFont="1" applyFill="1" applyAlignment="1">
      <alignment horizontal="left" vertical="center" readingOrder="1"/>
    </xf>
    <xf numFmtId="10" fontId="0" fillId="3" borderId="0" xfId="0" applyNumberFormat="1" applyFill="1" applyAlignment="1">
      <alignment horizontal="left"/>
    </xf>
    <xf numFmtId="1" fontId="0" fillId="3" borderId="0" xfId="0" applyNumberFormat="1" applyFill="1" applyAlignment="1">
      <alignment horizontal="left" indent="1"/>
    </xf>
    <xf numFmtId="1" fontId="0" fillId="3" borderId="0" xfId="0" applyNumberFormat="1" applyFill="1" applyAlignment="1">
      <alignment horizontal="left" wrapText="1"/>
    </xf>
    <xf numFmtId="1" fontId="0" fillId="3" borderId="0" xfId="1" applyNumberFormat="1" applyFont="1" applyFill="1" applyAlignment="1">
      <alignment horizontal="left"/>
    </xf>
    <xf numFmtId="165" fontId="0" fillId="3" borderId="0" xfId="1" applyNumberFormat="1" applyFont="1" applyFill="1" applyAlignment="1">
      <alignment horizontal="left"/>
    </xf>
    <xf numFmtId="1" fontId="0" fillId="3" borderId="0" xfId="0" applyNumberFormat="1" applyFill="1" applyAlignment="1">
      <alignment horizontal="left" wrapText="1" indent="1"/>
    </xf>
    <xf numFmtId="0" fontId="13" fillId="3" borderId="0" xfId="4" applyFont="1" applyFill="1" applyAlignment="1">
      <alignment horizontal="left"/>
    </xf>
    <xf numFmtId="0" fontId="1" fillId="3" borderId="0" xfId="0" applyFont="1" applyFill="1"/>
    <xf numFmtId="3" fontId="0" fillId="3" borderId="0" xfId="0" applyNumberFormat="1" applyFill="1" applyAlignment="1">
      <alignment horizontal="left" indent="1"/>
    </xf>
    <xf numFmtId="10" fontId="10" fillId="3" borderId="0" xfId="2" applyNumberFormat="1" applyFont="1" applyFill="1" applyAlignment="1">
      <alignment horizontal="left"/>
    </xf>
    <xf numFmtId="0" fontId="0" fillId="11" borderId="0" xfId="0" quotePrefix="1" applyFill="1" applyAlignment="1">
      <alignment horizontal="left" indent="1"/>
    </xf>
    <xf numFmtId="170" fontId="0" fillId="5" borderId="0" xfId="2" applyNumberFormat="1" applyFont="1" applyFill="1" applyAlignment="1">
      <alignment horizontal="left"/>
    </xf>
    <xf numFmtId="1" fontId="0" fillId="5" borderId="0" xfId="0" applyNumberFormat="1" applyFill="1" applyAlignment="1">
      <alignment horizontal="right"/>
    </xf>
    <xf numFmtId="168" fontId="0" fillId="11" borderId="0" xfId="1" applyNumberFormat="1" applyFont="1" applyFill="1" applyAlignment="1">
      <alignment horizontal="right"/>
    </xf>
    <xf numFmtId="0" fontId="4" fillId="3" borderId="0" xfId="0" applyFont="1" applyFill="1" applyAlignment="1">
      <alignment horizontal="center" vertical="center" wrapText="1"/>
    </xf>
    <xf numFmtId="0" fontId="5" fillId="3" borderId="0" xfId="0" applyFont="1" applyFill="1" applyAlignment="1">
      <alignment horizontal="center"/>
    </xf>
    <xf numFmtId="0" fontId="0" fillId="3" borderId="0" xfId="0" applyFill="1" applyAlignment="1">
      <alignment horizontal="center"/>
    </xf>
    <xf numFmtId="168" fontId="0" fillId="3" borderId="0" xfId="1" applyNumberFormat="1" applyFont="1" applyFill="1" applyAlignment="1">
      <alignment horizontal="left"/>
    </xf>
    <xf numFmtId="169" fontId="0" fillId="0" borderId="0" xfId="0" applyNumberFormat="1" applyAlignment="1">
      <alignment horizontal="left"/>
    </xf>
    <xf numFmtId="3" fontId="0" fillId="11" borderId="0" xfId="0" applyNumberFormat="1" applyFill="1" applyAlignment="1">
      <alignment horizontal="left"/>
    </xf>
    <xf numFmtId="171" fontId="0" fillId="0" borderId="0" xfId="1" applyNumberFormat="1" applyFont="1" applyFill="1" applyAlignment="1">
      <alignment horizontal="left"/>
    </xf>
    <xf numFmtId="171" fontId="0" fillId="0" borderId="0" xfId="1" applyNumberFormat="1" applyFont="1" applyFill="1" applyAlignment="1">
      <alignment horizontal="right"/>
    </xf>
    <xf numFmtId="164" fontId="0" fillId="0" borderId="0" xfId="0" applyNumberFormat="1" applyAlignment="1">
      <alignment horizontal="left"/>
    </xf>
    <xf numFmtId="0" fontId="3" fillId="0" borderId="0" xfId="4" quotePrefix="1" applyFont="1" applyAlignment="1">
      <alignment horizontal="left"/>
    </xf>
    <xf numFmtId="0" fontId="9" fillId="0" borderId="0" xfId="4" quotePrefix="1" applyFont="1" applyAlignment="1">
      <alignment horizontal="left"/>
    </xf>
    <xf numFmtId="0" fontId="11" fillId="3" borderId="0" xfId="0" applyFont="1" applyFill="1" applyAlignment="1">
      <alignment horizontal="left"/>
    </xf>
    <xf numFmtId="168" fontId="0" fillId="0" borderId="0" xfId="0" applyNumberFormat="1" applyAlignment="1">
      <alignment horizontal="left" indent="1"/>
    </xf>
    <xf numFmtId="0" fontId="5" fillId="0" borderId="0" xfId="0" applyFont="1" applyAlignment="1">
      <alignment horizontal="left" indent="1"/>
    </xf>
    <xf numFmtId="2" fontId="0" fillId="3" borderId="0" xfId="0" applyNumberFormat="1" applyFill="1" applyAlignment="1">
      <alignment horizontal="left" indent="1"/>
    </xf>
    <xf numFmtId="0" fontId="5" fillId="3" borderId="0" xfId="0" applyFont="1" applyFill="1" applyAlignment="1">
      <alignment horizontal="left" indent="1"/>
    </xf>
    <xf numFmtId="168" fontId="0" fillId="3" borderId="0" xfId="1" applyNumberFormat="1" applyFont="1" applyFill="1" applyAlignment="1"/>
    <xf numFmtId="9" fontId="0" fillId="11" borderId="0" xfId="0" applyNumberFormat="1" applyFill="1" applyAlignment="1">
      <alignment horizontal="left" indent="1"/>
    </xf>
    <xf numFmtId="10" fontId="0" fillId="11" borderId="0" xfId="0" applyNumberFormat="1" applyFill="1" applyAlignment="1">
      <alignment horizontal="left" indent="1"/>
    </xf>
    <xf numFmtId="2" fontId="0" fillId="11" borderId="0" xfId="0" applyNumberFormat="1" applyFill="1" applyAlignment="1">
      <alignment horizontal="left" indent="1"/>
    </xf>
    <xf numFmtId="165" fontId="0" fillId="11" borderId="0" xfId="0" applyNumberFormat="1" applyFill="1" applyAlignment="1">
      <alignment horizontal="left" indent="1"/>
    </xf>
    <xf numFmtId="9" fontId="0" fillId="11" borderId="0" xfId="2" applyFont="1" applyFill="1" applyBorder="1" applyAlignment="1">
      <alignment horizontal="left"/>
    </xf>
    <xf numFmtId="168" fontId="0" fillId="3" borderId="0" xfId="0" applyNumberFormat="1" applyFill="1" applyAlignment="1">
      <alignment horizontal="left" indent="1"/>
    </xf>
    <xf numFmtId="9" fontId="0" fillId="11" borderId="0" xfId="2" applyFont="1" applyFill="1" applyBorder="1" applyAlignment="1">
      <alignment horizontal="left" indent="1"/>
    </xf>
    <xf numFmtId="166" fontId="0" fillId="11" borderId="0" xfId="2" applyNumberFormat="1" applyFont="1" applyFill="1" applyBorder="1" applyAlignment="1">
      <alignment horizontal="right" indent="1"/>
    </xf>
    <xf numFmtId="9" fontId="0" fillId="11" borderId="0" xfId="2" applyFont="1" applyFill="1" applyAlignment="1">
      <alignment horizontal="right" indent="1"/>
    </xf>
    <xf numFmtId="9" fontId="0" fillId="0" borderId="0" xfId="2" applyFont="1" applyAlignment="1">
      <alignment horizontal="right" indent="2"/>
    </xf>
    <xf numFmtId="16" fontId="0" fillId="11" borderId="0" xfId="0" applyNumberFormat="1" applyFill="1" applyAlignment="1">
      <alignment horizontal="left"/>
    </xf>
    <xf numFmtId="1" fontId="5" fillId="11" borderId="0" xfId="0" applyNumberFormat="1" applyFont="1" applyFill="1" applyAlignment="1">
      <alignment horizontal="left"/>
    </xf>
    <xf numFmtId="1" fontId="0" fillId="11" borderId="0" xfId="0" applyNumberFormat="1" applyFill="1" applyAlignment="1">
      <alignment horizontal="left" indent="1"/>
    </xf>
    <xf numFmtId="49" fontId="0" fillId="11" borderId="0" xfId="0" applyNumberFormat="1" applyFill="1" applyAlignment="1">
      <alignment horizontal="left"/>
    </xf>
    <xf numFmtId="16" fontId="0" fillId="11" borderId="0" xfId="0" quotePrefix="1" applyNumberFormat="1" applyFill="1" applyAlignment="1">
      <alignment horizontal="left"/>
    </xf>
    <xf numFmtId="9" fontId="0" fillId="12" borderId="0" xfId="0" applyNumberFormat="1" applyFill="1" applyAlignment="1">
      <alignment horizontal="left"/>
    </xf>
    <xf numFmtId="10" fontId="0" fillId="0" borderId="0" xfId="2" applyNumberFormat="1" applyFont="1" applyAlignment="1">
      <alignment horizontal="left"/>
    </xf>
    <xf numFmtId="2" fontId="4" fillId="2" borderId="0" xfId="0" applyNumberFormat="1" applyFont="1" applyFill="1" applyAlignment="1">
      <alignment horizontal="left" vertical="center"/>
    </xf>
    <xf numFmtId="2" fontId="4" fillId="2" borderId="2" xfId="0" applyNumberFormat="1" applyFont="1" applyFill="1" applyBorder="1" applyAlignment="1">
      <alignment horizontal="left" vertical="center"/>
    </xf>
    <xf numFmtId="0" fontId="5" fillId="3" borderId="0" xfId="0" applyFont="1" applyFill="1"/>
    <xf numFmtId="2" fontId="0" fillId="0" borderId="3" xfId="0" applyNumberFormat="1" applyBorder="1"/>
    <xf numFmtId="2" fontId="0" fillId="0" borderId="3" xfId="0" applyNumberFormat="1" applyBorder="1" applyAlignment="1">
      <alignment horizontal="left"/>
    </xf>
    <xf numFmtId="0" fontId="4" fillId="14" borderId="0" xfId="0" applyFont="1" applyFill="1"/>
    <xf numFmtId="0" fontId="4" fillId="0" borderId="0" xfId="0" applyFont="1"/>
    <xf numFmtId="0" fontId="19" fillId="0" borderId="0" xfId="0" applyFont="1"/>
    <xf numFmtId="0" fontId="9" fillId="0" borderId="0" xfId="0" applyFont="1"/>
    <xf numFmtId="0" fontId="21" fillId="0" borderId="0" xfId="0" applyFont="1"/>
    <xf numFmtId="2" fontId="8" fillId="0" borderId="0" xfId="0" applyNumberFormat="1" applyFont="1"/>
    <xf numFmtId="1" fontId="4" fillId="2" borderId="0" xfId="0" applyNumberFormat="1" applyFont="1" applyFill="1"/>
    <xf numFmtId="9" fontId="0" fillId="0" borderId="0" xfId="2" applyFont="1" applyFill="1"/>
    <xf numFmtId="0" fontId="21" fillId="3" borderId="0" xfId="0" applyFont="1" applyFill="1"/>
    <xf numFmtId="0" fontId="5" fillId="8" borderId="5" xfId="0" applyFont="1" applyFill="1" applyBorder="1"/>
    <xf numFmtId="0" fontId="0" fillId="0" borderId="5" xfId="0" applyBorder="1"/>
    <xf numFmtId="1" fontId="0" fillId="0" borderId="3" xfId="0" applyNumberFormat="1" applyBorder="1"/>
    <xf numFmtId="0" fontId="0" fillId="0" borderId="0" xfId="0" applyAlignment="1">
      <alignment horizontal="center" vertical="center"/>
    </xf>
    <xf numFmtId="0" fontId="0" fillId="0" borderId="0" xfId="0" applyAlignment="1">
      <alignment horizontal="left" vertical="center"/>
    </xf>
    <xf numFmtId="0" fontId="0" fillId="11" borderId="0" xfId="0" applyFill="1" applyAlignment="1">
      <alignment horizontal="left" vertical="center"/>
    </xf>
    <xf numFmtId="9" fontId="0" fillId="0" borderId="0" xfId="0" applyNumberFormat="1" applyAlignment="1">
      <alignment horizontal="left" vertical="center"/>
    </xf>
  </cellXfs>
  <cellStyles count="12">
    <cellStyle name="Comma" xfId="1" builtinId="3"/>
    <cellStyle name="Hyperlink" xfId="4" builtinId="8"/>
    <cellStyle name="Normal" xfId="0" builtinId="0"/>
    <cellStyle name="Normal 2" xfId="3" xr:uid="{793EDE43-24CD-4214-8374-028FD8C46E2B}"/>
    <cellStyle name="Normal 3" xfId="8" xr:uid="{3D2EC85C-BB89-42C5-AF57-B6537E19ADCD}"/>
    <cellStyle name="Normal 4" xfId="6" xr:uid="{C4D9275D-5A53-433F-AF8C-FF6F9CE58827}"/>
    <cellStyle name="Normal 5" xfId="5" xr:uid="{F376B6F9-BB7B-4E5E-834B-36BAEE502601}"/>
    <cellStyle name="Normal 6" xfId="7" xr:uid="{2501EABA-B7FA-481C-BB18-45B5780FEC97}"/>
    <cellStyle name="Normal 7" xfId="9" xr:uid="{A0A1604A-EEBB-4423-97C8-1F486A758B8A}"/>
    <cellStyle name="Normal 8" xfId="10" xr:uid="{492B7C54-C011-4B8B-8264-00190D237AE3}"/>
    <cellStyle name="Normal 9" xfId="11" xr:uid="{B3F8ACB6-F088-457B-B018-F67676DFCA19}"/>
    <cellStyle name="Per cent" xfId="2" builtinId="5"/>
  </cellStyles>
  <dxfs count="0"/>
  <tableStyles count="0" defaultTableStyle="TableStyleMedium2" defaultPivotStyle="PivotStyleLight16"/>
  <colors>
    <mruColors>
      <color rgb="FFCBA9E5"/>
      <color rgb="FF9148C8"/>
      <color rgb="FFAC2AAC"/>
      <color rgb="FFD96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486896</xdr:colOff>
      <xdr:row>5</xdr:row>
      <xdr:rowOff>28949</xdr:rowOff>
    </xdr:from>
    <xdr:to>
      <xdr:col>17</xdr:col>
      <xdr:colOff>285750</xdr:colOff>
      <xdr:row>11</xdr:row>
      <xdr:rowOff>137583</xdr:rowOff>
    </xdr:to>
    <xdr:sp macro="" textlink="">
      <xdr:nvSpPr>
        <xdr:cNvPr id="5" name="Rectangle 4">
          <a:extLst>
            <a:ext uri="{FF2B5EF4-FFF2-40B4-BE49-F238E27FC236}">
              <a16:creationId xmlns:a16="http://schemas.microsoft.com/office/drawing/2014/main" id="{B6BFAF39-1BC9-4CE9-BD8B-A7885B8E86B8}"/>
            </a:ext>
          </a:extLst>
        </xdr:cNvPr>
        <xdr:cNvSpPr/>
      </xdr:nvSpPr>
      <xdr:spPr>
        <a:xfrm>
          <a:off x="7842313" y="928532"/>
          <a:ext cx="5005854" cy="1389218"/>
        </a:xfrm>
        <a:prstGeom prst="rect">
          <a:avLst/>
        </a:prstGeom>
        <a:noFill/>
        <a:ln w="12700" cap="flat" cmpd="sng" algn="ctr">
          <a:solidFill>
            <a:srgbClr val="333333"/>
          </a:solidFill>
          <a:prstDash val="solid"/>
          <a:miter lim="800000"/>
        </a:ln>
        <a:effectLst/>
      </xdr:spPr>
      <xdr:txBody>
        <a:bodyPr wrap="square" rtlCol="0" anchor="t"/>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218249</xdr:colOff>
      <xdr:row>9</xdr:row>
      <xdr:rowOff>55874</xdr:rowOff>
    </xdr:from>
    <xdr:to>
      <xdr:col>9</xdr:col>
      <xdr:colOff>235134</xdr:colOff>
      <xdr:row>11</xdr:row>
      <xdr:rowOff>103451</xdr:rowOff>
    </xdr:to>
    <xdr:sp macro="" textlink="">
      <xdr:nvSpPr>
        <xdr:cNvPr id="6" name="Rectangle 5">
          <a:extLst>
            <a:ext uri="{FF2B5EF4-FFF2-40B4-BE49-F238E27FC236}">
              <a16:creationId xmlns:a16="http://schemas.microsoft.com/office/drawing/2014/main" id="{F412FA4A-D49F-4EE7-8180-28AAC0BE0582}"/>
            </a:ext>
          </a:extLst>
        </xdr:cNvPr>
        <xdr:cNvSpPr/>
      </xdr:nvSpPr>
      <xdr:spPr>
        <a:xfrm>
          <a:off x="826035" y="1960874"/>
          <a:ext cx="6103813" cy="410434"/>
        </a:xfrm>
        <a:prstGeom prst="rect">
          <a:avLst/>
        </a:prstGeom>
        <a:solidFill>
          <a:schemeClr val="accent1">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STE-P - Contains data used in the steel performance tracker</a:t>
          </a:r>
        </a:p>
      </xdr:txBody>
    </xdr:sp>
    <xdr:clientData/>
  </xdr:twoCellAnchor>
  <xdr:twoCellAnchor>
    <xdr:from>
      <xdr:col>1</xdr:col>
      <xdr:colOff>218249</xdr:colOff>
      <xdr:row>6</xdr:row>
      <xdr:rowOff>169559</xdr:rowOff>
    </xdr:from>
    <xdr:to>
      <xdr:col>9</xdr:col>
      <xdr:colOff>235134</xdr:colOff>
      <xdr:row>8</xdr:row>
      <xdr:rowOff>82703</xdr:rowOff>
    </xdr:to>
    <xdr:sp macro="" textlink="">
      <xdr:nvSpPr>
        <xdr:cNvPr id="7" name="Rectangle 6">
          <a:extLst>
            <a:ext uri="{FF2B5EF4-FFF2-40B4-BE49-F238E27FC236}">
              <a16:creationId xmlns:a16="http://schemas.microsoft.com/office/drawing/2014/main" id="{B8432C1A-AE6E-4BE4-A7E3-769D5596564B}"/>
            </a:ext>
          </a:extLst>
        </xdr:cNvPr>
        <xdr:cNvSpPr/>
      </xdr:nvSpPr>
      <xdr:spPr>
        <a:xfrm>
          <a:off x="826035" y="1357916"/>
          <a:ext cx="6103813" cy="448358"/>
        </a:xfrm>
        <a:prstGeom prst="rect">
          <a:avLst/>
        </a:prstGeom>
        <a:solidFill>
          <a:srgbClr val="7030A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SUM - Summary sheet containing data for cross-industry findings</a:t>
          </a:r>
        </a:p>
      </xdr:txBody>
    </xdr:sp>
    <xdr:clientData/>
  </xdr:twoCellAnchor>
  <xdr:twoCellAnchor>
    <xdr:from>
      <xdr:col>1</xdr:col>
      <xdr:colOff>238949</xdr:colOff>
      <xdr:row>12</xdr:row>
      <xdr:rowOff>86260</xdr:rowOff>
    </xdr:from>
    <xdr:to>
      <xdr:col>9</xdr:col>
      <xdr:colOff>233843</xdr:colOff>
      <xdr:row>14</xdr:row>
      <xdr:rowOff>138719</xdr:rowOff>
    </xdr:to>
    <xdr:sp macro="" textlink="">
      <xdr:nvSpPr>
        <xdr:cNvPr id="9" name="Rectangle 8">
          <a:extLst>
            <a:ext uri="{FF2B5EF4-FFF2-40B4-BE49-F238E27FC236}">
              <a16:creationId xmlns:a16="http://schemas.microsoft.com/office/drawing/2014/main" id="{DEFE8FE5-F228-47D0-B2E3-18C6640298D9}"/>
            </a:ext>
          </a:extLst>
        </xdr:cNvPr>
        <xdr:cNvSpPr/>
      </xdr:nvSpPr>
      <xdr:spPr>
        <a:xfrm>
          <a:off x="846735" y="2535546"/>
          <a:ext cx="6081822" cy="415316"/>
        </a:xfrm>
        <a:prstGeom prst="rect">
          <a:avLst/>
        </a:prstGeom>
        <a:solidFill>
          <a:schemeClr val="accent1">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STE-R – Contains data used in the steel readiness tracker </a:t>
          </a:r>
        </a:p>
      </xdr:txBody>
    </xdr:sp>
    <xdr:clientData/>
  </xdr:twoCellAnchor>
  <xdr:twoCellAnchor>
    <xdr:from>
      <xdr:col>1</xdr:col>
      <xdr:colOff>218249</xdr:colOff>
      <xdr:row>15</xdr:row>
      <xdr:rowOff>83089</xdr:rowOff>
    </xdr:from>
    <xdr:to>
      <xdr:col>9</xdr:col>
      <xdr:colOff>235134</xdr:colOff>
      <xdr:row>17</xdr:row>
      <xdr:rowOff>130665</xdr:rowOff>
    </xdr:to>
    <xdr:sp macro="" textlink="">
      <xdr:nvSpPr>
        <xdr:cNvPr id="12" name="Rectangle 11">
          <a:extLst>
            <a:ext uri="{FF2B5EF4-FFF2-40B4-BE49-F238E27FC236}">
              <a16:creationId xmlns:a16="http://schemas.microsoft.com/office/drawing/2014/main" id="{9DE1DB78-A21A-48C9-98AA-22D8332DC877}"/>
            </a:ext>
          </a:extLst>
        </xdr:cNvPr>
        <xdr:cNvSpPr/>
      </xdr:nvSpPr>
      <xdr:spPr>
        <a:xfrm>
          <a:off x="826035" y="3076660"/>
          <a:ext cx="6103813" cy="410434"/>
        </a:xfrm>
        <a:prstGeom prst="rect">
          <a:avLst/>
        </a:prstGeom>
        <a:solidFill>
          <a:schemeClr val="accent1">
            <a:lumMod val="60000"/>
            <a:lumOff val="4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CEM-P - Contains data used in cement performance tracker</a:t>
          </a:r>
        </a:p>
      </xdr:txBody>
    </xdr:sp>
    <xdr:clientData/>
  </xdr:twoCellAnchor>
  <xdr:twoCellAnchor>
    <xdr:from>
      <xdr:col>1</xdr:col>
      <xdr:colOff>238949</xdr:colOff>
      <xdr:row>18</xdr:row>
      <xdr:rowOff>113475</xdr:rowOff>
    </xdr:from>
    <xdr:to>
      <xdr:col>9</xdr:col>
      <xdr:colOff>233843</xdr:colOff>
      <xdr:row>20</xdr:row>
      <xdr:rowOff>165934</xdr:rowOff>
    </xdr:to>
    <xdr:sp macro="" textlink="">
      <xdr:nvSpPr>
        <xdr:cNvPr id="13" name="Rectangle 12">
          <a:extLst>
            <a:ext uri="{FF2B5EF4-FFF2-40B4-BE49-F238E27FC236}">
              <a16:creationId xmlns:a16="http://schemas.microsoft.com/office/drawing/2014/main" id="{6374CABA-6FB8-4074-A9CE-C5893848EF73}"/>
            </a:ext>
          </a:extLst>
        </xdr:cNvPr>
        <xdr:cNvSpPr/>
      </xdr:nvSpPr>
      <xdr:spPr>
        <a:xfrm>
          <a:off x="846735" y="3651332"/>
          <a:ext cx="6081822" cy="415316"/>
        </a:xfrm>
        <a:prstGeom prst="rect">
          <a:avLst/>
        </a:prstGeom>
        <a:solidFill>
          <a:schemeClr val="accent1">
            <a:lumMod val="60000"/>
            <a:lumOff val="4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CEM-R – Contains data used in cement readiness tracker </a:t>
          </a:r>
        </a:p>
      </xdr:txBody>
    </xdr:sp>
    <xdr:clientData/>
  </xdr:twoCellAnchor>
  <xdr:twoCellAnchor>
    <xdr:from>
      <xdr:col>1</xdr:col>
      <xdr:colOff>218249</xdr:colOff>
      <xdr:row>22</xdr:row>
      <xdr:rowOff>10518</xdr:rowOff>
    </xdr:from>
    <xdr:to>
      <xdr:col>9</xdr:col>
      <xdr:colOff>235134</xdr:colOff>
      <xdr:row>24</xdr:row>
      <xdr:rowOff>58094</xdr:rowOff>
    </xdr:to>
    <xdr:sp macro="" textlink="">
      <xdr:nvSpPr>
        <xdr:cNvPr id="2" name="Rectangle 15">
          <a:extLst>
            <a:ext uri="{FF2B5EF4-FFF2-40B4-BE49-F238E27FC236}">
              <a16:creationId xmlns:a16="http://schemas.microsoft.com/office/drawing/2014/main" id="{1A29865E-6998-438A-ACC0-C0AB552D0DA8}"/>
            </a:ext>
          </a:extLst>
        </xdr:cNvPr>
        <xdr:cNvSpPr/>
      </xdr:nvSpPr>
      <xdr:spPr>
        <a:xfrm>
          <a:off x="826035" y="4274089"/>
          <a:ext cx="6103813" cy="410434"/>
        </a:xfrm>
        <a:prstGeom prst="rect">
          <a:avLst/>
        </a:prstGeom>
        <a:solidFill>
          <a:schemeClr val="accent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ALU-P - Contains data used in aluminium performance tracker</a:t>
          </a:r>
        </a:p>
      </xdr:txBody>
    </xdr:sp>
    <xdr:clientData/>
  </xdr:twoCellAnchor>
  <xdr:twoCellAnchor>
    <xdr:from>
      <xdr:col>1</xdr:col>
      <xdr:colOff>238949</xdr:colOff>
      <xdr:row>25</xdr:row>
      <xdr:rowOff>40904</xdr:rowOff>
    </xdr:from>
    <xdr:to>
      <xdr:col>9</xdr:col>
      <xdr:colOff>233843</xdr:colOff>
      <xdr:row>27</xdr:row>
      <xdr:rowOff>93363</xdr:rowOff>
    </xdr:to>
    <xdr:sp macro="" textlink="">
      <xdr:nvSpPr>
        <xdr:cNvPr id="17" name="Rectangle 16">
          <a:extLst>
            <a:ext uri="{FF2B5EF4-FFF2-40B4-BE49-F238E27FC236}">
              <a16:creationId xmlns:a16="http://schemas.microsoft.com/office/drawing/2014/main" id="{F0C11B2F-F8F1-49D5-8405-8FEA18A30950}"/>
            </a:ext>
          </a:extLst>
        </xdr:cNvPr>
        <xdr:cNvSpPr/>
      </xdr:nvSpPr>
      <xdr:spPr>
        <a:xfrm>
          <a:off x="846735" y="4848761"/>
          <a:ext cx="6081822" cy="415316"/>
        </a:xfrm>
        <a:prstGeom prst="rect">
          <a:avLst/>
        </a:prstGeom>
        <a:solidFill>
          <a:schemeClr val="accent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ALU-R – Contains data used in aluminium readiness tracker </a:t>
          </a:r>
        </a:p>
      </xdr:txBody>
    </xdr:sp>
    <xdr:clientData/>
  </xdr:twoCellAnchor>
  <xdr:twoCellAnchor>
    <xdr:from>
      <xdr:col>1</xdr:col>
      <xdr:colOff>218249</xdr:colOff>
      <xdr:row>28</xdr:row>
      <xdr:rowOff>37732</xdr:rowOff>
    </xdr:from>
    <xdr:to>
      <xdr:col>9</xdr:col>
      <xdr:colOff>235134</xdr:colOff>
      <xdr:row>30</xdr:row>
      <xdr:rowOff>85309</xdr:rowOff>
    </xdr:to>
    <xdr:sp macro="" textlink="">
      <xdr:nvSpPr>
        <xdr:cNvPr id="18" name="Rectangle 17">
          <a:extLst>
            <a:ext uri="{FF2B5EF4-FFF2-40B4-BE49-F238E27FC236}">
              <a16:creationId xmlns:a16="http://schemas.microsoft.com/office/drawing/2014/main" id="{C0071E50-76FB-46A0-AFBD-99B498F45D3F}"/>
            </a:ext>
          </a:extLst>
        </xdr:cNvPr>
        <xdr:cNvSpPr/>
      </xdr:nvSpPr>
      <xdr:spPr>
        <a:xfrm>
          <a:off x="826035" y="5389875"/>
          <a:ext cx="6103813" cy="410434"/>
        </a:xfrm>
        <a:prstGeom prst="rect">
          <a:avLst/>
        </a:prstGeom>
        <a:solidFill>
          <a:srgbClr val="00206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AMM-P - Contains data used in ammonia performance tracker</a:t>
          </a:r>
        </a:p>
      </xdr:txBody>
    </xdr:sp>
    <xdr:clientData/>
  </xdr:twoCellAnchor>
  <xdr:twoCellAnchor>
    <xdr:from>
      <xdr:col>1</xdr:col>
      <xdr:colOff>238949</xdr:colOff>
      <xdr:row>31</xdr:row>
      <xdr:rowOff>68118</xdr:rowOff>
    </xdr:from>
    <xdr:to>
      <xdr:col>9</xdr:col>
      <xdr:colOff>233843</xdr:colOff>
      <xdr:row>33</xdr:row>
      <xdr:rowOff>120577</xdr:rowOff>
    </xdr:to>
    <xdr:sp macro="" textlink="">
      <xdr:nvSpPr>
        <xdr:cNvPr id="19" name="Rectangle 18">
          <a:extLst>
            <a:ext uri="{FF2B5EF4-FFF2-40B4-BE49-F238E27FC236}">
              <a16:creationId xmlns:a16="http://schemas.microsoft.com/office/drawing/2014/main" id="{08D3E6B5-CACB-4F58-9AA7-C40405138849}"/>
            </a:ext>
          </a:extLst>
        </xdr:cNvPr>
        <xdr:cNvSpPr/>
      </xdr:nvSpPr>
      <xdr:spPr>
        <a:xfrm>
          <a:off x="846735" y="5964547"/>
          <a:ext cx="6081822" cy="415316"/>
        </a:xfrm>
        <a:prstGeom prst="rect">
          <a:avLst/>
        </a:prstGeom>
        <a:solidFill>
          <a:srgbClr val="00206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AMM-R – Contains data used in ammonia readiness tracker </a:t>
          </a:r>
        </a:p>
      </xdr:txBody>
    </xdr:sp>
    <xdr:clientData/>
  </xdr:twoCellAnchor>
  <xdr:twoCellAnchor>
    <xdr:from>
      <xdr:col>1</xdr:col>
      <xdr:colOff>218249</xdr:colOff>
      <xdr:row>34</xdr:row>
      <xdr:rowOff>101232</xdr:rowOff>
    </xdr:from>
    <xdr:to>
      <xdr:col>9</xdr:col>
      <xdr:colOff>235134</xdr:colOff>
      <xdr:row>36</xdr:row>
      <xdr:rowOff>148809</xdr:rowOff>
    </xdr:to>
    <xdr:sp macro="" textlink="">
      <xdr:nvSpPr>
        <xdr:cNvPr id="20" name="Rectangle 19">
          <a:extLst>
            <a:ext uri="{FF2B5EF4-FFF2-40B4-BE49-F238E27FC236}">
              <a16:creationId xmlns:a16="http://schemas.microsoft.com/office/drawing/2014/main" id="{DD23D71F-679B-4F6E-B244-1F35D5CDB7DD}"/>
            </a:ext>
          </a:extLst>
        </xdr:cNvPr>
        <xdr:cNvSpPr/>
      </xdr:nvSpPr>
      <xdr:spPr>
        <a:xfrm>
          <a:off x="826035" y="6541946"/>
          <a:ext cx="6103813" cy="410434"/>
        </a:xfrm>
        <a:prstGeom prst="rect">
          <a:avLst/>
        </a:prstGeom>
        <a:solidFill>
          <a:srgbClr val="AC2AAC"/>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OIL-P - Contains data used in oil performance tracker</a:t>
          </a:r>
        </a:p>
      </xdr:txBody>
    </xdr:sp>
    <xdr:clientData/>
  </xdr:twoCellAnchor>
  <xdr:twoCellAnchor>
    <xdr:from>
      <xdr:col>1</xdr:col>
      <xdr:colOff>238949</xdr:colOff>
      <xdr:row>37</xdr:row>
      <xdr:rowOff>131618</xdr:rowOff>
    </xdr:from>
    <xdr:to>
      <xdr:col>9</xdr:col>
      <xdr:colOff>233843</xdr:colOff>
      <xdr:row>40</xdr:row>
      <xdr:rowOff>2648</xdr:rowOff>
    </xdr:to>
    <xdr:sp macro="" textlink="">
      <xdr:nvSpPr>
        <xdr:cNvPr id="21" name="Rectangle 20">
          <a:extLst>
            <a:ext uri="{FF2B5EF4-FFF2-40B4-BE49-F238E27FC236}">
              <a16:creationId xmlns:a16="http://schemas.microsoft.com/office/drawing/2014/main" id="{3F9F65A9-2FF0-4CAE-A129-BC5532306FB3}"/>
            </a:ext>
          </a:extLst>
        </xdr:cNvPr>
        <xdr:cNvSpPr/>
      </xdr:nvSpPr>
      <xdr:spPr>
        <a:xfrm>
          <a:off x="846735" y="7116618"/>
          <a:ext cx="6081822" cy="415316"/>
        </a:xfrm>
        <a:prstGeom prst="rect">
          <a:avLst/>
        </a:prstGeom>
        <a:solidFill>
          <a:srgbClr val="AC2AAC"/>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OIL-R – Contains data used in oil readiness tracker </a:t>
          </a:r>
        </a:p>
      </xdr:txBody>
    </xdr:sp>
    <xdr:clientData/>
  </xdr:twoCellAnchor>
  <xdr:twoCellAnchor>
    <xdr:from>
      <xdr:col>1</xdr:col>
      <xdr:colOff>218249</xdr:colOff>
      <xdr:row>40</xdr:row>
      <xdr:rowOff>128446</xdr:rowOff>
    </xdr:from>
    <xdr:to>
      <xdr:col>9</xdr:col>
      <xdr:colOff>235134</xdr:colOff>
      <xdr:row>42</xdr:row>
      <xdr:rowOff>176023</xdr:rowOff>
    </xdr:to>
    <xdr:sp macro="" textlink="">
      <xdr:nvSpPr>
        <xdr:cNvPr id="22" name="Rectangle 21">
          <a:extLst>
            <a:ext uri="{FF2B5EF4-FFF2-40B4-BE49-F238E27FC236}">
              <a16:creationId xmlns:a16="http://schemas.microsoft.com/office/drawing/2014/main" id="{6965A053-FFF5-4260-AFF5-97E5D5F718FD}"/>
            </a:ext>
          </a:extLst>
        </xdr:cNvPr>
        <xdr:cNvSpPr/>
      </xdr:nvSpPr>
      <xdr:spPr>
        <a:xfrm>
          <a:off x="826035" y="7657732"/>
          <a:ext cx="6103813" cy="410434"/>
        </a:xfrm>
        <a:prstGeom prst="rect">
          <a:avLst/>
        </a:prstGeom>
        <a:solidFill>
          <a:srgbClr val="9148C8"/>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GAS-P - Contains data used in natural gas performance tracker</a:t>
          </a:r>
        </a:p>
      </xdr:txBody>
    </xdr:sp>
    <xdr:clientData/>
  </xdr:twoCellAnchor>
  <xdr:twoCellAnchor>
    <xdr:from>
      <xdr:col>1</xdr:col>
      <xdr:colOff>238949</xdr:colOff>
      <xdr:row>43</xdr:row>
      <xdr:rowOff>158833</xdr:rowOff>
    </xdr:from>
    <xdr:to>
      <xdr:col>9</xdr:col>
      <xdr:colOff>233843</xdr:colOff>
      <xdr:row>46</xdr:row>
      <xdr:rowOff>29863</xdr:rowOff>
    </xdr:to>
    <xdr:sp macro="" textlink="">
      <xdr:nvSpPr>
        <xdr:cNvPr id="23" name="Rectangle 22">
          <a:extLst>
            <a:ext uri="{FF2B5EF4-FFF2-40B4-BE49-F238E27FC236}">
              <a16:creationId xmlns:a16="http://schemas.microsoft.com/office/drawing/2014/main" id="{311E226D-8056-45E0-A166-9CE7971596E5}"/>
            </a:ext>
          </a:extLst>
        </xdr:cNvPr>
        <xdr:cNvSpPr/>
      </xdr:nvSpPr>
      <xdr:spPr>
        <a:xfrm>
          <a:off x="846735" y="8232404"/>
          <a:ext cx="6081822" cy="415316"/>
        </a:xfrm>
        <a:prstGeom prst="rect">
          <a:avLst/>
        </a:prstGeom>
        <a:solidFill>
          <a:srgbClr val="9148C8"/>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GAS-R – Contains data used in natural gas readiness tracker </a:t>
          </a:r>
        </a:p>
      </xdr:txBody>
    </xdr:sp>
    <xdr:clientData/>
  </xdr:twoCellAnchor>
  <xdr:twoCellAnchor>
    <xdr:from>
      <xdr:col>1</xdr:col>
      <xdr:colOff>235774</xdr:colOff>
      <xdr:row>47</xdr:row>
      <xdr:rowOff>12330</xdr:rowOff>
    </xdr:from>
    <xdr:to>
      <xdr:col>9</xdr:col>
      <xdr:colOff>237018</xdr:colOff>
      <xdr:row>49</xdr:row>
      <xdr:rowOff>53903</xdr:rowOff>
    </xdr:to>
    <xdr:sp macro="" textlink="">
      <xdr:nvSpPr>
        <xdr:cNvPr id="25" name="Rectangle 24">
          <a:extLst>
            <a:ext uri="{FF2B5EF4-FFF2-40B4-BE49-F238E27FC236}">
              <a16:creationId xmlns:a16="http://schemas.microsoft.com/office/drawing/2014/main" id="{C854B3D5-16BB-40D3-AA01-74AD52049321}"/>
            </a:ext>
          </a:extLst>
        </xdr:cNvPr>
        <xdr:cNvSpPr/>
      </xdr:nvSpPr>
      <xdr:spPr>
        <a:xfrm>
          <a:off x="848095" y="8625651"/>
          <a:ext cx="6110852" cy="395359"/>
        </a:xfrm>
        <a:prstGeom prst="rect">
          <a:avLst/>
        </a:prstGeom>
        <a:solidFill>
          <a:schemeClr val="bg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GLO - Glossary of key words</a:t>
          </a:r>
        </a:p>
      </xdr:txBody>
    </xdr:sp>
    <xdr:clientData/>
  </xdr:twoCellAnchor>
  <xdr:twoCellAnchor>
    <xdr:from>
      <xdr:col>1</xdr:col>
      <xdr:colOff>0</xdr:colOff>
      <xdr:row>5</xdr:row>
      <xdr:rowOff>25841</xdr:rowOff>
    </xdr:from>
    <xdr:to>
      <xdr:col>9</xdr:col>
      <xdr:colOff>388028</xdr:colOff>
      <xdr:row>68</xdr:row>
      <xdr:rowOff>127000</xdr:rowOff>
    </xdr:to>
    <xdr:sp macro="" textlink="">
      <xdr:nvSpPr>
        <xdr:cNvPr id="3" name="Rectangle 2">
          <a:extLst>
            <a:ext uri="{FF2B5EF4-FFF2-40B4-BE49-F238E27FC236}">
              <a16:creationId xmlns:a16="http://schemas.microsoft.com/office/drawing/2014/main" id="{9F6A870E-FE61-4FFD-9486-B4442B0CA170}"/>
            </a:ext>
          </a:extLst>
        </xdr:cNvPr>
        <xdr:cNvSpPr/>
      </xdr:nvSpPr>
      <xdr:spPr>
        <a:xfrm>
          <a:off x="615950" y="927541"/>
          <a:ext cx="6528478" cy="12013759"/>
        </a:xfrm>
        <a:prstGeom prst="rect">
          <a:avLst/>
        </a:prstGeom>
        <a:noFill/>
        <a:ln w="12700" cap="flat" cmpd="sng" algn="ctr">
          <a:solidFill>
            <a:srgbClr val="333333"/>
          </a:solidFill>
          <a:prstDash val="solid"/>
          <a:miter lim="800000"/>
        </a:ln>
        <a:effectLst/>
      </xdr:spPr>
      <xdr:txBody>
        <a:bodyPr wrap="square" rtlCol="0" anchor="t"/>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10</xdr:col>
      <xdr:colOff>486896</xdr:colOff>
      <xdr:row>5</xdr:row>
      <xdr:rowOff>28949</xdr:rowOff>
    </xdr:from>
    <xdr:to>
      <xdr:col>17</xdr:col>
      <xdr:colOff>285750</xdr:colOff>
      <xdr:row>11</xdr:row>
      <xdr:rowOff>137583</xdr:rowOff>
    </xdr:to>
    <xdr:sp macro="" textlink="">
      <xdr:nvSpPr>
        <xdr:cNvPr id="8" name="Rectangle 7">
          <a:extLst>
            <a:ext uri="{FF2B5EF4-FFF2-40B4-BE49-F238E27FC236}">
              <a16:creationId xmlns:a16="http://schemas.microsoft.com/office/drawing/2014/main" id="{22E3B6B7-0413-4DFD-B401-68BF0EFF4993}"/>
            </a:ext>
          </a:extLst>
        </xdr:cNvPr>
        <xdr:cNvSpPr/>
      </xdr:nvSpPr>
      <xdr:spPr>
        <a:xfrm>
          <a:off x="7859246" y="930649"/>
          <a:ext cx="5018554" cy="1410384"/>
        </a:xfrm>
        <a:prstGeom prst="rect">
          <a:avLst/>
        </a:prstGeom>
        <a:noFill/>
        <a:ln w="12700" cap="flat" cmpd="sng" algn="ctr">
          <a:solidFill>
            <a:srgbClr val="333333"/>
          </a:solidFill>
          <a:prstDash val="solid"/>
          <a:miter lim="800000"/>
        </a:ln>
        <a:effectLst/>
      </xdr:spPr>
      <xdr:txBody>
        <a:bodyPr wrap="square" rtlCol="0" anchor="t"/>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218249</xdr:colOff>
      <xdr:row>9</xdr:row>
      <xdr:rowOff>55874</xdr:rowOff>
    </xdr:from>
    <xdr:to>
      <xdr:col>9</xdr:col>
      <xdr:colOff>235134</xdr:colOff>
      <xdr:row>11</xdr:row>
      <xdr:rowOff>103451</xdr:rowOff>
    </xdr:to>
    <xdr:sp macro="" textlink="">
      <xdr:nvSpPr>
        <xdr:cNvPr id="10" name="Rectangle 9">
          <a:extLst>
            <a:ext uri="{FF2B5EF4-FFF2-40B4-BE49-F238E27FC236}">
              <a16:creationId xmlns:a16="http://schemas.microsoft.com/office/drawing/2014/main" id="{463955A2-2736-4945-987F-96DC16EFDEE0}"/>
            </a:ext>
          </a:extLst>
        </xdr:cNvPr>
        <xdr:cNvSpPr/>
      </xdr:nvSpPr>
      <xdr:spPr>
        <a:xfrm>
          <a:off x="834199" y="1891024"/>
          <a:ext cx="6157335" cy="415877"/>
        </a:xfrm>
        <a:prstGeom prst="rect">
          <a:avLst/>
        </a:prstGeom>
        <a:solidFill>
          <a:schemeClr val="accent1">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STE-P - Contains data used in the steel performance tracker</a:t>
          </a:r>
        </a:p>
      </xdr:txBody>
    </xdr:sp>
    <xdr:clientData/>
  </xdr:twoCellAnchor>
  <xdr:twoCellAnchor>
    <xdr:from>
      <xdr:col>1</xdr:col>
      <xdr:colOff>218249</xdr:colOff>
      <xdr:row>6</xdr:row>
      <xdr:rowOff>169559</xdr:rowOff>
    </xdr:from>
    <xdr:to>
      <xdr:col>9</xdr:col>
      <xdr:colOff>235134</xdr:colOff>
      <xdr:row>8</xdr:row>
      <xdr:rowOff>82703</xdr:rowOff>
    </xdr:to>
    <xdr:sp macro="" textlink="">
      <xdr:nvSpPr>
        <xdr:cNvPr id="11" name="Rectangle 10">
          <a:extLst>
            <a:ext uri="{FF2B5EF4-FFF2-40B4-BE49-F238E27FC236}">
              <a16:creationId xmlns:a16="http://schemas.microsoft.com/office/drawing/2014/main" id="{EAEA9D6D-4931-438B-97A9-0735B84AAA06}"/>
            </a:ext>
          </a:extLst>
        </xdr:cNvPr>
        <xdr:cNvSpPr/>
      </xdr:nvSpPr>
      <xdr:spPr>
        <a:xfrm>
          <a:off x="834199" y="1287159"/>
          <a:ext cx="6157335" cy="446544"/>
        </a:xfrm>
        <a:prstGeom prst="rect">
          <a:avLst/>
        </a:prstGeom>
        <a:solidFill>
          <a:srgbClr val="7030A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SUM - Summary sheet containing data for cross-industry findings</a:t>
          </a:r>
        </a:p>
      </xdr:txBody>
    </xdr:sp>
    <xdr:clientData/>
  </xdr:twoCellAnchor>
  <xdr:twoCellAnchor>
    <xdr:from>
      <xdr:col>1</xdr:col>
      <xdr:colOff>238949</xdr:colOff>
      <xdr:row>12</xdr:row>
      <xdr:rowOff>86260</xdr:rowOff>
    </xdr:from>
    <xdr:to>
      <xdr:col>9</xdr:col>
      <xdr:colOff>233843</xdr:colOff>
      <xdr:row>14</xdr:row>
      <xdr:rowOff>138719</xdr:rowOff>
    </xdr:to>
    <xdr:sp macro="" textlink="">
      <xdr:nvSpPr>
        <xdr:cNvPr id="14" name="Rectangle 13">
          <a:extLst>
            <a:ext uri="{FF2B5EF4-FFF2-40B4-BE49-F238E27FC236}">
              <a16:creationId xmlns:a16="http://schemas.microsoft.com/office/drawing/2014/main" id="{E098CF1E-94DB-4A9A-8BB4-F822E8CE8936}"/>
            </a:ext>
          </a:extLst>
        </xdr:cNvPr>
        <xdr:cNvSpPr/>
      </xdr:nvSpPr>
      <xdr:spPr>
        <a:xfrm>
          <a:off x="854899" y="2473860"/>
          <a:ext cx="6135344" cy="420759"/>
        </a:xfrm>
        <a:prstGeom prst="rect">
          <a:avLst/>
        </a:prstGeom>
        <a:solidFill>
          <a:schemeClr val="accent1">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STE-R – Contains data used in the steel readiness tracker </a:t>
          </a:r>
        </a:p>
      </xdr:txBody>
    </xdr:sp>
    <xdr:clientData/>
  </xdr:twoCellAnchor>
  <xdr:twoCellAnchor>
    <xdr:from>
      <xdr:col>1</xdr:col>
      <xdr:colOff>218249</xdr:colOff>
      <xdr:row>15</xdr:row>
      <xdr:rowOff>83089</xdr:rowOff>
    </xdr:from>
    <xdr:to>
      <xdr:col>9</xdr:col>
      <xdr:colOff>235134</xdr:colOff>
      <xdr:row>17</xdr:row>
      <xdr:rowOff>130665</xdr:rowOff>
    </xdr:to>
    <xdr:sp macro="" textlink="">
      <xdr:nvSpPr>
        <xdr:cNvPr id="15" name="Rectangle 14">
          <a:extLst>
            <a:ext uri="{FF2B5EF4-FFF2-40B4-BE49-F238E27FC236}">
              <a16:creationId xmlns:a16="http://schemas.microsoft.com/office/drawing/2014/main" id="{8ED52E24-5E16-4F58-914A-D1063B91E3EF}"/>
            </a:ext>
          </a:extLst>
        </xdr:cNvPr>
        <xdr:cNvSpPr/>
      </xdr:nvSpPr>
      <xdr:spPr>
        <a:xfrm>
          <a:off x="834199" y="3042189"/>
          <a:ext cx="6157335" cy="415876"/>
        </a:xfrm>
        <a:prstGeom prst="rect">
          <a:avLst/>
        </a:prstGeom>
        <a:solidFill>
          <a:schemeClr val="accent1">
            <a:lumMod val="60000"/>
            <a:lumOff val="4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CEM-P - Contains data used in cement performance tracker</a:t>
          </a:r>
        </a:p>
      </xdr:txBody>
    </xdr:sp>
    <xdr:clientData/>
  </xdr:twoCellAnchor>
  <xdr:twoCellAnchor>
    <xdr:from>
      <xdr:col>1</xdr:col>
      <xdr:colOff>238949</xdr:colOff>
      <xdr:row>18</xdr:row>
      <xdr:rowOff>113475</xdr:rowOff>
    </xdr:from>
    <xdr:to>
      <xdr:col>9</xdr:col>
      <xdr:colOff>233843</xdr:colOff>
      <xdr:row>20</xdr:row>
      <xdr:rowOff>165934</xdr:rowOff>
    </xdr:to>
    <xdr:sp macro="" textlink="">
      <xdr:nvSpPr>
        <xdr:cNvPr id="16" name="Rectangle 15">
          <a:extLst>
            <a:ext uri="{FF2B5EF4-FFF2-40B4-BE49-F238E27FC236}">
              <a16:creationId xmlns:a16="http://schemas.microsoft.com/office/drawing/2014/main" id="{E1CB9222-71BE-40F6-ADD7-4D79C403CCB4}"/>
            </a:ext>
          </a:extLst>
        </xdr:cNvPr>
        <xdr:cNvSpPr/>
      </xdr:nvSpPr>
      <xdr:spPr>
        <a:xfrm>
          <a:off x="854899" y="3625025"/>
          <a:ext cx="6135344" cy="420759"/>
        </a:xfrm>
        <a:prstGeom prst="rect">
          <a:avLst/>
        </a:prstGeom>
        <a:solidFill>
          <a:schemeClr val="accent1">
            <a:lumMod val="60000"/>
            <a:lumOff val="4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CEM-R – Contains data used in cement readiness tracker </a:t>
          </a:r>
        </a:p>
      </xdr:txBody>
    </xdr:sp>
    <xdr:clientData/>
  </xdr:twoCellAnchor>
  <xdr:twoCellAnchor>
    <xdr:from>
      <xdr:col>1</xdr:col>
      <xdr:colOff>218249</xdr:colOff>
      <xdr:row>22</xdr:row>
      <xdr:rowOff>10518</xdr:rowOff>
    </xdr:from>
    <xdr:to>
      <xdr:col>9</xdr:col>
      <xdr:colOff>235134</xdr:colOff>
      <xdr:row>24</xdr:row>
      <xdr:rowOff>58094</xdr:rowOff>
    </xdr:to>
    <xdr:sp macro="" textlink="">
      <xdr:nvSpPr>
        <xdr:cNvPr id="26" name="Rectangle 15">
          <a:extLst>
            <a:ext uri="{FF2B5EF4-FFF2-40B4-BE49-F238E27FC236}">
              <a16:creationId xmlns:a16="http://schemas.microsoft.com/office/drawing/2014/main" id="{46EF85AB-28F9-49F3-B3B2-18D817A8084F}"/>
            </a:ext>
          </a:extLst>
        </xdr:cNvPr>
        <xdr:cNvSpPr/>
      </xdr:nvSpPr>
      <xdr:spPr>
        <a:xfrm>
          <a:off x="834199" y="4258668"/>
          <a:ext cx="6157335" cy="415876"/>
        </a:xfrm>
        <a:prstGeom prst="rect">
          <a:avLst/>
        </a:prstGeom>
        <a:solidFill>
          <a:schemeClr val="accent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ALU-P - Contains data used in aluminium performance tracker</a:t>
          </a:r>
        </a:p>
      </xdr:txBody>
    </xdr:sp>
    <xdr:clientData/>
  </xdr:twoCellAnchor>
  <xdr:twoCellAnchor>
    <xdr:from>
      <xdr:col>1</xdr:col>
      <xdr:colOff>238949</xdr:colOff>
      <xdr:row>25</xdr:row>
      <xdr:rowOff>40904</xdr:rowOff>
    </xdr:from>
    <xdr:to>
      <xdr:col>9</xdr:col>
      <xdr:colOff>233843</xdr:colOff>
      <xdr:row>27</xdr:row>
      <xdr:rowOff>93363</xdr:rowOff>
    </xdr:to>
    <xdr:sp macro="" textlink="">
      <xdr:nvSpPr>
        <xdr:cNvPr id="27" name="Rectangle 26">
          <a:extLst>
            <a:ext uri="{FF2B5EF4-FFF2-40B4-BE49-F238E27FC236}">
              <a16:creationId xmlns:a16="http://schemas.microsoft.com/office/drawing/2014/main" id="{8491A0B1-0FA7-4D19-A2F4-37F319B1AA93}"/>
            </a:ext>
          </a:extLst>
        </xdr:cNvPr>
        <xdr:cNvSpPr/>
      </xdr:nvSpPr>
      <xdr:spPr>
        <a:xfrm>
          <a:off x="854899" y="4841504"/>
          <a:ext cx="6135344" cy="420759"/>
        </a:xfrm>
        <a:prstGeom prst="rect">
          <a:avLst/>
        </a:prstGeom>
        <a:solidFill>
          <a:schemeClr val="accent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ALU-R – Contains data used in aluminium readiness tracker </a:t>
          </a:r>
        </a:p>
      </xdr:txBody>
    </xdr:sp>
    <xdr:clientData/>
  </xdr:twoCellAnchor>
  <xdr:twoCellAnchor>
    <xdr:from>
      <xdr:col>1</xdr:col>
      <xdr:colOff>218249</xdr:colOff>
      <xdr:row>28</xdr:row>
      <xdr:rowOff>37732</xdr:rowOff>
    </xdr:from>
    <xdr:to>
      <xdr:col>9</xdr:col>
      <xdr:colOff>235134</xdr:colOff>
      <xdr:row>30</xdr:row>
      <xdr:rowOff>85309</xdr:rowOff>
    </xdr:to>
    <xdr:sp macro="" textlink="">
      <xdr:nvSpPr>
        <xdr:cNvPr id="28" name="Rectangle 27">
          <a:extLst>
            <a:ext uri="{FF2B5EF4-FFF2-40B4-BE49-F238E27FC236}">
              <a16:creationId xmlns:a16="http://schemas.microsoft.com/office/drawing/2014/main" id="{351BAB90-D80A-4F82-A5A0-A784BCC66785}"/>
            </a:ext>
          </a:extLst>
        </xdr:cNvPr>
        <xdr:cNvSpPr/>
      </xdr:nvSpPr>
      <xdr:spPr>
        <a:xfrm>
          <a:off x="834199" y="5390782"/>
          <a:ext cx="6157335" cy="415877"/>
        </a:xfrm>
        <a:prstGeom prst="rect">
          <a:avLst/>
        </a:prstGeom>
        <a:solidFill>
          <a:srgbClr val="00206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AMM-P - Contains data used in ammonia performance tracker</a:t>
          </a:r>
        </a:p>
      </xdr:txBody>
    </xdr:sp>
    <xdr:clientData/>
  </xdr:twoCellAnchor>
  <xdr:twoCellAnchor>
    <xdr:from>
      <xdr:col>1</xdr:col>
      <xdr:colOff>238949</xdr:colOff>
      <xdr:row>31</xdr:row>
      <xdr:rowOff>68118</xdr:rowOff>
    </xdr:from>
    <xdr:to>
      <xdr:col>9</xdr:col>
      <xdr:colOff>233843</xdr:colOff>
      <xdr:row>33</xdr:row>
      <xdr:rowOff>120577</xdr:rowOff>
    </xdr:to>
    <xdr:sp macro="" textlink="">
      <xdr:nvSpPr>
        <xdr:cNvPr id="29" name="Rectangle 28">
          <a:extLst>
            <a:ext uri="{FF2B5EF4-FFF2-40B4-BE49-F238E27FC236}">
              <a16:creationId xmlns:a16="http://schemas.microsoft.com/office/drawing/2014/main" id="{E12356E9-A956-4F6A-862C-CCADD9380894}"/>
            </a:ext>
          </a:extLst>
        </xdr:cNvPr>
        <xdr:cNvSpPr/>
      </xdr:nvSpPr>
      <xdr:spPr>
        <a:xfrm>
          <a:off x="854899" y="5973618"/>
          <a:ext cx="6135344" cy="420759"/>
        </a:xfrm>
        <a:prstGeom prst="rect">
          <a:avLst/>
        </a:prstGeom>
        <a:solidFill>
          <a:srgbClr val="002060"/>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AMM-R – Contains data used in ammonia readiness tracker </a:t>
          </a:r>
        </a:p>
      </xdr:txBody>
    </xdr:sp>
    <xdr:clientData/>
  </xdr:twoCellAnchor>
  <xdr:twoCellAnchor>
    <xdr:from>
      <xdr:col>1</xdr:col>
      <xdr:colOff>218249</xdr:colOff>
      <xdr:row>34</xdr:row>
      <xdr:rowOff>101232</xdr:rowOff>
    </xdr:from>
    <xdr:to>
      <xdr:col>9</xdr:col>
      <xdr:colOff>235134</xdr:colOff>
      <xdr:row>36</xdr:row>
      <xdr:rowOff>148809</xdr:rowOff>
    </xdr:to>
    <xdr:sp macro="" textlink="">
      <xdr:nvSpPr>
        <xdr:cNvPr id="30" name="Rectangle 29">
          <a:extLst>
            <a:ext uri="{FF2B5EF4-FFF2-40B4-BE49-F238E27FC236}">
              <a16:creationId xmlns:a16="http://schemas.microsoft.com/office/drawing/2014/main" id="{D002EA20-8E9E-49A0-AF8D-7F98846687B6}"/>
            </a:ext>
          </a:extLst>
        </xdr:cNvPr>
        <xdr:cNvSpPr/>
      </xdr:nvSpPr>
      <xdr:spPr>
        <a:xfrm>
          <a:off x="834199" y="6559182"/>
          <a:ext cx="6157335" cy="415877"/>
        </a:xfrm>
        <a:prstGeom prst="rect">
          <a:avLst/>
        </a:prstGeom>
        <a:solidFill>
          <a:srgbClr val="AC2AAC"/>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OIL-P - Contains data used in oil performance tracker</a:t>
          </a:r>
        </a:p>
      </xdr:txBody>
    </xdr:sp>
    <xdr:clientData/>
  </xdr:twoCellAnchor>
  <xdr:twoCellAnchor>
    <xdr:from>
      <xdr:col>1</xdr:col>
      <xdr:colOff>238949</xdr:colOff>
      <xdr:row>37</xdr:row>
      <xdr:rowOff>131618</xdr:rowOff>
    </xdr:from>
    <xdr:to>
      <xdr:col>9</xdr:col>
      <xdr:colOff>233843</xdr:colOff>
      <xdr:row>40</xdr:row>
      <xdr:rowOff>2648</xdr:rowOff>
    </xdr:to>
    <xdr:sp macro="" textlink="">
      <xdr:nvSpPr>
        <xdr:cNvPr id="31" name="Rectangle 30">
          <a:extLst>
            <a:ext uri="{FF2B5EF4-FFF2-40B4-BE49-F238E27FC236}">
              <a16:creationId xmlns:a16="http://schemas.microsoft.com/office/drawing/2014/main" id="{1FF7A81C-9908-4F37-A3D1-5FCC0DE4A8B7}"/>
            </a:ext>
          </a:extLst>
        </xdr:cNvPr>
        <xdr:cNvSpPr/>
      </xdr:nvSpPr>
      <xdr:spPr>
        <a:xfrm>
          <a:off x="854899" y="7142018"/>
          <a:ext cx="6135344" cy="423480"/>
        </a:xfrm>
        <a:prstGeom prst="rect">
          <a:avLst/>
        </a:prstGeom>
        <a:solidFill>
          <a:srgbClr val="AC2AAC"/>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OIL-R – Contains data used in oil readiness tracker </a:t>
          </a:r>
        </a:p>
      </xdr:txBody>
    </xdr:sp>
    <xdr:clientData/>
  </xdr:twoCellAnchor>
  <xdr:twoCellAnchor>
    <xdr:from>
      <xdr:col>1</xdr:col>
      <xdr:colOff>218249</xdr:colOff>
      <xdr:row>40</xdr:row>
      <xdr:rowOff>128446</xdr:rowOff>
    </xdr:from>
    <xdr:to>
      <xdr:col>9</xdr:col>
      <xdr:colOff>235134</xdr:colOff>
      <xdr:row>42</xdr:row>
      <xdr:rowOff>176023</xdr:rowOff>
    </xdr:to>
    <xdr:sp macro="" textlink="">
      <xdr:nvSpPr>
        <xdr:cNvPr id="32" name="Rectangle 31">
          <a:extLst>
            <a:ext uri="{FF2B5EF4-FFF2-40B4-BE49-F238E27FC236}">
              <a16:creationId xmlns:a16="http://schemas.microsoft.com/office/drawing/2014/main" id="{9371C88C-6DA7-4829-A8B8-E6A8F0DA0FEB}"/>
            </a:ext>
          </a:extLst>
        </xdr:cNvPr>
        <xdr:cNvSpPr/>
      </xdr:nvSpPr>
      <xdr:spPr>
        <a:xfrm>
          <a:off x="834199" y="7691296"/>
          <a:ext cx="6157335" cy="415877"/>
        </a:xfrm>
        <a:prstGeom prst="rect">
          <a:avLst/>
        </a:prstGeom>
        <a:solidFill>
          <a:srgbClr val="9148C8"/>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GAS-P - Contains data used in natural gas performance tracker</a:t>
          </a:r>
        </a:p>
      </xdr:txBody>
    </xdr:sp>
    <xdr:clientData/>
  </xdr:twoCellAnchor>
  <xdr:twoCellAnchor>
    <xdr:from>
      <xdr:col>1</xdr:col>
      <xdr:colOff>238949</xdr:colOff>
      <xdr:row>43</xdr:row>
      <xdr:rowOff>158833</xdr:rowOff>
    </xdr:from>
    <xdr:to>
      <xdr:col>9</xdr:col>
      <xdr:colOff>233843</xdr:colOff>
      <xdr:row>46</xdr:row>
      <xdr:rowOff>29863</xdr:rowOff>
    </xdr:to>
    <xdr:sp macro="" textlink="">
      <xdr:nvSpPr>
        <xdr:cNvPr id="33" name="Rectangle 32">
          <a:extLst>
            <a:ext uri="{FF2B5EF4-FFF2-40B4-BE49-F238E27FC236}">
              <a16:creationId xmlns:a16="http://schemas.microsoft.com/office/drawing/2014/main" id="{C962633D-3CDB-4B5E-97BC-91A100C9E486}"/>
            </a:ext>
          </a:extLst>
        </xdr:cNvPr>
        <xdr:cNvSpPr/>
      </xdr:nvSpPr>
      <xdr:spPr>
        <a:xfrm>
          <a:off x="854899" y="8274133"/>
          <a:ext cx="6135344" cy="423480"/>
        </a:xfrm>
        <a:prstGeom prst="rect">
          <a:avLst/>
        </a:prstGeom>
        <a:solidFill>
          <a:srgbClr val="9148C8"/>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GAS-R – Contains data used in natural gas readiness tracker </a:t>
          </a:r>
        </a:p>
      </xdr:txBody>
    </xdr:sp>
    <xdr:clientData/>
  </xdr:twoCellAnchor>
  <xdr:twoCellAnchor>
    <xdr:from>
      <xdr:col>1</xdr:col>
      <xdr:colOff>235774</xdr:colOff>
      <xdr:row>65</xdr:row>
      <xdr:rowOff>54663</xdr:rowOff>
    </xdr:from>
    <xdr:to>
      <xdr:col>9</xdr:col>
      <xdr:colOff>237018</xdr:colOff>
      <xdr:row>67</xdr:row>
      <xdr:rowOff>96236</xdr:rowOff>
    </xdr:to>
    <xdr:sp macro="" textlink="">
      <xdr:nvSpPr>
        <xdr:cNvPr id="34" name="Rectangle 33">
          <a:extLst>
            <a:ext uri="{FF2B5EF4-FFF2-40B4-BE49-F238E27FC236}">
              <a16:creationId xmlns:a16="http://schemas.microsoft.com/office/drawing/2014/main" id="{D7F287BE-476B-4B7E-9C19-F19ACAD2313F}"/>
            </a:ext>
          </a:extLst>
        </xdr:cNvPr>
        <xdr:cNvSpPr/>
      </xdr:nvSpPr>
      <xdr:spPr>
        <a:xfrm>
          <a:off x="851724" y="12316513"/>
          <a:ext cx="6141694" cy="409873"/>
        </a:xfrm>
        <a:prstGeom prst="rect">
          <a:avLst/>
        </a:prstGeom>
        <a:solidFill>
          <a:schemeClr val="bg1">
            <a:lumMod val="5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chemeClr val="bg1"/>
              </a:solidFill>
              <a:effectLst/>
              <a:uLnTx/>
              <a:uFillTx/>
              <a:latin typeface="Graphik" panose="020B0503030202060203" pitchFamily="34" charset="0"/>
              <a:ea typeface="+mn-ea"/>
              <a:cs typeface="+mn-cs"/>
            </a:rPr>
            <a:t>GLO - Glossary of key words</a:t>
          </a:r>
        </a:p>
      </xdr:txBody>
    </xdr:sp>
    <xdr:clientData/>
  </xdr:twoCellAnchor>
  <xdr:twoCellAnchor>
    <xdr:from>
      <xdr:col>1</xdr:col>
      <xdr:colOff>241835</xdr:colOff>
      <xdr:row>47</xdr:row>
      <xdr:rowOff>26846</xdr:rowOff>
    </xdr:from>
    <xdr:to>
      <xdr:col>9</xdr:col>
      <xdr:colOff>258720</xdr:colOff>
      <xdr:row>49</xdr:row>
      <xdr:rowOff>74423</xdr:rowOff>
    </xdr:to>
    <xdr:sp macro="" textlink="">
      <xdr:nvSpPr>
        <xdr:cNvPr id="35" name="Rectangle 34">
          <a:extLst>
            <a:ext uri="{FF2B5EF4-FFF2-40B4-BE49-F238E27FC236}">
              <a16:creationId xmlns:a16="http://schemas.microsoft.com/office/drawing/2014/main" id="{52A6CE1D-F90F-4031-88C4-7DC8C6605FAE}"/>
            </a:ext>
          </a:extLst>
        </xdr:cNvPr>
        <xdr:cNvSpPr/>
      </xdr:nvSpPr>
      <xdr:spPr>
        <a:xfrm>
          <a:off x="857785" y="8878746"/>
          <a:ext cx="6157335" cy="415877"/>
        </a:xfrm>
        <a:prstGeom prst="rect">
          <a:avLst/>
        </a:prstGeom>
        <a:solidFill>
          <a:schemeClr val="accent4"/>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SHP-P - Contains data used in shipping performance tracker</a:t>
          </a:r>
        </a:p>
      </xdr:txBody>
    </xdr:sp>
    <xdr:clientData/>
  </xdr:twoCellAnchor>
  <xdr:twoCellAnchor>
    <xdr:from>
      <xdr:col>1</xdr:col>
      <xdr:colOff>262535</xdr:colOff>
      <xdr:row>50</xdr:row>
      <xdr:rowOff>57232</xdr:rowOff>
    </xdr:from>
    <xdr:to>
      <xdr:col>9</xdr:col>
      <xdr:colOff>257429</xdr:colOff>
      <xdr:row>52</xdr:row>
      <xdr:rowOff>118762</xdr:rowOff>
    </xdr:to>
    <xdr:sp macro="" textlink="">
      <xdr:nvSpPr>
        <xdr:cNvPr id="36" name="Rectangle 35">
          <a:extLst>
            <a:ext uri="{FF2B5EF4-FFF2-40B4-BE49-F238E27FC236}">
              <a16:creationId xmlns:a16="http://schemas.microsoft.com/office/drawing/2014/main" id="{42327745-5C8D-4B3A-A2FA-8FFF7D67062B}"/>
            </a:ext>
          </a:extLst>
        </xdr:cNvPr>
        <xdr:cNvSpPr/>
      </xdr:nvSpPr>
      <xdr:spPr>
        <a:xfrm>
          <a:off x="878485" y="9461582"/>
          <a:ext cx="6135344" cy="429830"/>
        </a:xfrm>
        <a:prstGeom prst="rect">
          <a:avLst/>
        </a:prstGeom>
        <a:solidFill>
          <a:schemeClr val="accent4"/>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SHP-R – Contains data used in shipping readiness tracker </a:t>
          </a:r>
        </a:p>
      </xdr:txBody>
    </xdr:sp>
    <xdr:clientData/>
  </xdr:twoCellAnchor>
  <xdr:twoCellAnchor>
    <xdr:from>
      <xdr:col>1</xdr:col>
      <xdr:colOff>241835</xdr:colOff>
      <xdr:row>53</xdr:row>
      <xdr:rowOff>54060</xdr:rowOff>
    </xdr:from>
    <xdr:to>
      <xdr:col>9</xdr:col>
      <xdr:colOff>258720</xdr:colOff>
      <xdr:row>55</xdr:row>
      <xdr:rowOff>12737</xdr:rowOff>
    </xdr:to>
    <xdr:sp macro="" textlink="">
      <xdr:nvSpPr>
        <xdr:cNvPr id="37" name="Rectangle 36">
          <a:extLst>
            <a:ext uri="{FF2B5EF4-FFF2-40B4-BE49-F238E27FC236}">
              <a16:creationId xmlns:a16="http://schemas.microsoft.com/office/drawing/2014/main" id="{D05572C0-193E-46B9-9223-C488E9740517}"/>
            </a:ext>
          </a:extLst>
        </xdr:cNvPr>
        <xdr:cNvSpPr/>
      </xdr:nvSpPr>
      <xdr:spPr>
        <a:xfrm>
          <a:off x="857785" y="10010860"/>
          <a:ext cx="6157335" cy="422227"/>
        </a:xfrm>
        <a:prstGeom prst="rect">
          <a:avLst/>
        </a:prstGeom>
        <a:solidFill>
          <a:schemeClr val="accent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TRU-P - Contains data used in trucking performance tracker</a:t>
          </a:r>
        </a:p>
      </xdr:txBody>
    </xdr:sp>
    <xdr:clientData/>
  </xdr:twoCellAnchor>
  <xdr:twoCellAnchor>
    <xdr:from>
      <xdr:col>1</xdr:col>
      <xdr:colOff>262535</xdr:colOff>
      <xdr:row>55</xdr:row>
      <xdr:rowOff>186047</xdr:rowOff>
    </xdr:from>
    <xdr:to>
      <xdr:col>9</xdr:col>
      <xdr:colOff>257429</xdr:colOff>
      <xdr:row>58</xdr:row>
      <xdr:rowOff>57077</xdr:rowOff>
    </xdr:to>
    <xdr:sp macro="" textlink="">
      <xdr:nvSpPr>
        <xdr:cNvPr id="38" name="Rectangle 37">
          <a:extLst>
            <a:ext uri="{FF2B5EF4-FFF2-40B4-BE49-F238E27FC236}">
              <a16:creationId xmlns:a16="http://schemas.microsoft.com/office/drawing/2014/main" id="{FA7FDEFE-B4C7-46C1-BF0B-09C7E7FFBE92}"/>
            </a:ext>
          </a:extLst>
        </xdr:cNvPr>
        <xdr:cNvSpPr/>
      </xdr:nvSpPr>
      <xdr:spPr>
        <a:xfrm>
          <a:off x="878485" y="10606397"/>
          <a:ext cx="6135344" cy="423480"/>
        </a:xfrm>
        <a:prstGeom prst="rect">
          <a:avLst/>
        </a:prstGeom>
        <a:solidFill>
          <a:schemeClr val="accent2"/>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TRU-R – Contains data used in trucking readiness tracker </a:t>
          </a:r>
        </a:p>
      </xdr:txBody>
    </xdr:sp>
    <xdr:clientData/>
  </xdr:twoCellAnchor>
  <xdr:twoCellAnchor>
    <xdr:from>
      <xdr:col>1</xdr:col>
      <xdr:colOff>254535</xdr:colOff>
      <xdr:row>59</xdr:row>
      <xdr:rowOff>28660</xdr:rowOff>
    </xdr:from>
    <xdr:to>
      <xdr:col>9</xdr:col>
      <xdr:colOff>271420</xdr:colOff>
      <xdr:row>61</xdr:row>
      <xdr:rowOff>76237</xdr:rowOff>
    </xdr:to>
    <xdr:sp macro="" textlink="">
      <xdr:nvSpPr>
        <xdr:cNvPr id="39" name="Rectangle 38">
          <a:extLst>
            <a:ext uri="{FF2B5EF4-FFF2-40B4-BE49-F238E27FC236}">
              <a16:creationId xmlns:a16="http://schemas.microsoft.com/office/drawing/2014/main" id="{1D93AF09-5E61-4925-8861-DD103FD7F7BE}"/>
            </a:ext>
          </a:extLst>
        </xdr:cNvPr>
        <xdr:cNvSpPr/>
      </xdr:nvSpPr>
      <xdr:spPr>
        <a:xfrm>
          <a:off x="870485" y="11185610"/>
          <a:ext cx="6157335" cy="415877"/>
        </a:xfrm>
        <a:prstGeom prst="rect">
          <a:avLst/>
        </a:prstGeom>
        <a:solidFill>
          <a:schemeClr val="accent6">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AVI-P - Contains data used in aviation performance tracker</a:t>
          </a:r>
        </a:p>
      </xdr:txBody>
    </xdr:sp>
    <xdr:clientData/>
  </xdr:twoCellAnchor>
  <xdr:twoCellAnchor>
    <xdr:from>
      <xdr:col>1</xdr:col>
      <xdr:colOff>275235</xdr:colOff>
      <xdr:row>62</xdr:row>
      <xdr:rowOff>59047</xdr:rowOff>
    </xdr:from>
    <xdr:to>
      <xdr:col>9</xdr:col>
      <xdr:colOff>270129</xdr:colOff>
      <xdr:row>64</xdr:row>
      <xdr:rowOff>120577</xdr:rowOff>
    </xdr:to>
    <xdr:sp macro="" textlink="">
      <xdr:nvSpPr>
        <xdr:cNvPr id="40" name="Rectangle 39">
          <a:extLst>
            <a:ext uri="{FF2B5EF4-FFF2-40B4-BE49-F238E27FC236}">
              <a16:creationId xmlns:a16="http://schemas.microsoft.com/office/drawing/2014/main" id="{62C96944-2E58-4443-9A18-133E380DD2DC}"/>
            </a:ext>
          </a:extLst>
        </xdr:cNvPr>
        <xdr:cNvSpPr/>
      </xdr:nvSpPr>
      <xdr:spPr>
        <a:xfrm>
          <a:off x="891185" y="11768447"/>
          <a:ext cx="6135344" cy="429830"/>
        </a:xfrm>
        <a:prstGeom prst="rect">
          <a:avLst/>
        </a:prstGeom>
        <a:solidFill>
          <a:schemeClr val="accent6">
            <a:lumMod val="20000"/>
            <a:lumOff val="80000"/>
          </a:schemeClr>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Text" lastClr="000000"/>
              </a:solidFill>
              <a:effectLst/>
              <a:uLnTx/>
              <a:uFillTx/>
              <a:latin typeface="Graphik" panose="020B0503030202060203" pitchFamily="34" charset="0"/>
              <a:ea typeface="+mn-ea"/>
              <a:cs typeface="+mn-cs"/>
            </a:rPr>
            <a:t>AVI-R – Contains data used in aviation readiness tracker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94</xdr:row>
      <xdr:rowOff>0</xdr:rowOff>
    </xdr:from>
    <xdr:to>
      <xdr:col>18</xdr:col>
      <xdr:colOff>317738</xdr:colOff>
      <xdr:row>102</xdr:row>
      <xdr:rowOff>34548</xdr:rowOff>
    </xdr:to>
    <xdr:pic>
      <xdr:nvPicPr>
        <xdr:cNvPr id="2" name="Picture 1">
          <a:extLst>
            <a:ext uri="{FF2B5EF4-FFF2-40B4-BE49-F238E27FC236}">
              <a16:creationId xmlns:a16="http://schemas.microsoft.com/office/drawing/2014/main" id="{C0FB2DC6-3F33-74DB-5B15-A7165C17B670}"/>
            </a:ext>
          </a:extLst>
        </xdr:cNvPr>
        <xdr:cNvPicPr>
          <a:picLocks noChangeAspect="1"/>
        </xdr:cNvPicPr>
      </xdr:nvPicPr>
      <xdr:blipFill>
        <a:blip xmlns:r="http://schemas.openxmlformats.org/officeDocument/2006/relationships" r:embed="rId1"/>
        <a:stretch>
          <a:fillRect/>
        </a:stretch>
      </xdr:blipFill>
      <xdr:spPr>
        <a:xfrm>
          <a:off x="19494500" y="20528643"/>
          <a:ext cx="4635738" cy="1485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pbc.gov.cn/goutongjiaoliu/113456/113469/4342400/2021091617180089879.pdf" TargetMode="External"/><Relationship Id="rId13" Type="http://schemas.openxmlformats.org/officeDocument/2006/relationships/hyperlink" Target="https://missionpossiblepartnership.org/wp-content/uploads/2021/12/Closing-the-Gap-for-Aluminium-Emissions.pdf" TargetMode="External"/><Relationship Id="rId18" Type="http://schemas.openxmlformats.org/officeDocument/2006/relationships/hyperlink" Target="https://missionpossiblepartnership.org/wp-content/uploads/2021/12/Closing-the-Gap-for-Aluminium-Emissions.pdf" TargetMode="External"/><Relationship Id="rId26" Type="http://schemas.openxmlformats.org/officeDocument/2006/relationships/hyperlink" Target="https://www.irena.org/publications/2021/Jun/Renewable-Power-Costs-in-2020" TargetMode="External"/><Relationship Id="rId3" Type="http://schemas.openxmlformats.org/officeDocument/2006/relationships/hyperlink" Target="https://international-aluminium.org/resource/1-5-degrees-scenario-a-model-to-drive-emissions-reduction/" TargetMode="External"/><Relationship Id="rId21" Type="http://schemas.openxmlformats.org/officeDocument/2006/relationships/hyperlink" Target="https://www.iea.org/policies/13775-australian-government-support-for-hydrogen-use-in-alumina-refining" TargetMode="External"/><Relationship Id="rId7" Type="http://schemas.openxmlformats.org/officeDocument/2006/relationships/hyperlink" Target="https://www.amazon.com/s?k=pepsi+cans+12+pack&amp;crid=31UF4XCPJGCL7&amp;sprefix=pepsi+can%2Caps%2C441&amp;ref=nb_sb_ss_ts-doa-p_5_9" TargetMode="External"/><Relationship Id="rId12" Type="http://schemas.openxmlformats.org/officeDocument/2006/relationships/hyperlink" Target="https://missionpossiblepartnership.org/wp-content/uploads/2021/12/Closing-the-Gap-for-Aluminium-Emissions.pdf" TargetMode="External"/><Relationship Id="rId17" Type="http://schemas.openxmlformats.org/officeDocument/2006/relationships/hyperlink" Target="https://missionpossiblepartnership.org/wp-content/uploads/2021/12/Closing-the-Gap-for-Aluminium-Emissions.pdf" TargetMode="External"/><Relationship Id="rId25" Type="http://schemas.openxmlformats.org/officeDocument/2006/relationships/hyperlink" Target="https://economictimes.indiatimes.com/news/international/business/china-calls-on-state-firms-to-cut-energy-consumption-amid-carbon-peak-goals/articleshow/88588444.cms?from=mdr" TargetMode="External"/><Relationship Id="rId2" Type="http://schemas.openxmlformats.org/officeDocument/2006/relationships/hyperlink" Target="https://www.investing.com/commodities/aluminum-historical-data" TargetMode="External"/><Relationship Id="rId16" Type="http://schemas.openxmlformats.org/officeDocument/2006/relationships/hyperlink" Target="https://missionpossiblepartnership.org/wp-content/uploads/2021/12/Closing-the-Gap-for-Aluminium-Emissions.pdf" TargetMode="External"/><Relationship Id="rId20" Type="http://schemas.openxmlformats.org/officeDocument/2006/relationships/hyperlink" Target="https://www.canada.ca/en/natural-resources-canada/news/2021/05/canadas-invests-in-improving-energy-efficiency-in-canadian-aluminum-sector.html" TargetMode="External"/><Relationship Id="rId29" Type="http://schemas.openxmlformats.org/officeDocument/2006/relationships/printerSettings" Target="../printerSettings/printerSettings10.bin"/><Relationship Id="rId1" Type="http://schemas.openxmlformats.org/officeDocument/2006/relationships/hyperlink" Target="https://www.spglobal.com/platts/en/market-insights/latest-news/metals/072820-green-aluminum-market-to-take-off-in-2021-rusal" TargetMode="External"/><Relationship Id="rId6" Type="http://schemas.openxmlformats.org/officeDocument/2006/relationships/hyperlink" Target="https://everycancounts.eu/can-recycling/" TargetMode="External"/><Relationship Id="rId11" Type="http://schemas.openxmlformats.org/officeDocument/2006/relationships/hyperlink" Target="https://missionpossiblepartnership.org/wp-content/uploads/2021/12/Closing-the-Gap-for-Aluminium-Emissions.pdf" TargetMode="External"/><Relationship Id="rId24" Type="http://schemas.openxmlformats.org/officeDocument/2006/relationships/hyperlink" Target="https://romcometals.com/lme-launches-sustainability-register-for-aluminium-and-other-metals/" TargetMode="External"/><Relationship Id="rId5" Type="http://schemas.openxmlformats.org/officeDocument/2006/relationships/hyperlink" Target="https://aluminium-stewardship.org/wp-content/uploads/2021/10/20211012-ASI-GHG-Validation-Report_v2.0_GENERIC.pdf" TargetMode="External"/><Relationship Id="rId15" Type="http://schemas.openxmlformats.org/officeDocument/2006/relationships/hyperlink" Target="https://missionpossiblepartnership.org/wp-content/uploads/2021/12/Closing-the-Gap-for-Aluminium-Emissions.pdf" TargetMode="External"/><Relationship Id="rId23" Type="http://schemas.openxmlformats.org/officeDocument/2006/relationships/hyperlink" Target="https://missionpossiblepartnership.org/wp-content/uploads/2021/12/Closing-the-Gap-for-Aluminium-Emissions.pdf" TargetMode="External"/><Relationship Id="rId28" Type="http://schemas.openxmlformats.org/officeDocument/2006/relationships/hyperlink" Target="https://www.oecd-nea.org/upload/docs/application/pdf/2020-07/7530-reducing-cost-nuclear-construction.pdf" TargetMode="External"/><Relationship Id="rId10"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19" Type="http://schemas.openxmlformats.org/officeDocument/2006/relationships/hyperlink" Target="https://carbonpricingdashboard.worldbank.org/" TargetMode="External"/><Relationship Id="rId4" Type="http://schemas.openxmlformats.org/officeDocument/2006/relationships/hyperlink" Target="https://international-aluminium.org/statistics/primary-aluminium-smelting-energy-intensity/" TargetMode="External"/><Relationship Id="rId9" Type="http://schemas.openxmlformats.org/officeDocument/2006/relationships/hyperlink" Target="https://www.stern.nyu.edu/~adamodar/New_Home_Page/data.html" TargetMode="External"/><Relationship Id="rId14" Type="http://schemas.openxmlformats.org/officeDocument/2006/relationships/hyperlink" Target="https://missionpossiblepartnership.org/wp-content/uploads/2021/12/Closing-the-Gap-for-Aluminium-Emissions.pdf" TargetMode="External"/><Relationship Id="rId22" Type="http://schemas.openxmlformats.org/officeDocument/2006/relationships/hyperlink" Target="https://www.bloomberg.com/news/articles/2021-12-29/china-vows-to-cut-carbon-emissions-from-aluminum-by-5-by-2025" TargetMode="External"/><Relationship Id="rId27" Type="http://schemas.openxmlformats.org/officeDocument/2006/relationships/hyperlink" Target="https://www.european-aluminium.eu/about-aluminium/aluminium-in-use/automotive-and-transport/"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iea.blob.core.windows.net/assets/6ee41bb9-8e81-4b64-8701-2acc064ff6e4/AmmoniaTechnologyRoadmap.pdf" TargetMode="External"/><Relationship Id="rId13" Type="http://schemas.openxmlformats.org/officeDocument/2006/relationships/hyperlink" Target="https://www.fao.org/faostat/en/" TargetMode="External"/><Relationship Id="rId18" Type="http://schemas.openxmlformats.org/officeDocument/2006/relationships/hyperlink" Target="https://iea.blob.core.windows.net/assets/6ee41bb9-8e81-4b64-8701-2acc064ff6e4/AmmoniaTechnologyRoadmap.pdf" TargetMode="External"/><Relationship Id="rId3" Type="http://schemas.openxmlformats.org/officeDocument/2006/relationships/hyperlink" Target="https://iea.blob.core.windows.net/assets/6ee41bb9-8e81-4b64-8701-2acc064ff6e4/AmmoniaTechnologyRoadmap.pdf" TargetMode="External"/><Relationship Id="rId21" Type="http://schemas.openxmlformats.org/officeDocument/2006/relationships/hyperlink" Target="https://missionpossiblepartnership.org/wp-content/uploads/2022/09/Making-1.5-Aligned-Ammonia-possible.pdf" TargetMode="External"/><Relationship Id="rId7" Type="http://schemas.openxmlformats.org/officeDocument/2006/relationships/hyperlink" Target="https://iea.blob.core.windows.net/assets/6ee41bb9-8e81-4b64-8701-2acc064ff6e4/AmmoniaTechnologyRoadmap.pdf" TargetMode="External"/><Relationship Id="rId12" Type="http://schemas.openxmlformats.org/officeDocument/2006/relationships/hyperlink" Target="https://www.iea.org/reports/chemicals" TargetMode="External"/><Relationship Id="rId17" Type="http://schemas.openxmlformats.org/officeDocument/2006/relationships/hyperlink" Target="https://iea.blob.core.windows.net/assets/6ee41bb9-8e81-4b64-8701-2acc064ff6e4/AmmoniaTechnologyRoadmap.pdf" TargetMode="External"/><Relationship Id="rId2" Type="http://schemas.openxmlformats.org/officeDocument/2006/relationships/hyperlink" Target="https://iea.blob.core.windows.net/assets/6ee41bb9-8e81-4b64-8701-2acc064ff6e4/AmmoniaTechnologyRoadmap.pdf" TargetMode="External"/><Relationship Id="rId16" Type="http://schemas.openxmlformats.org/officeDocument/2006/relationships/hyperlink" Target="https://iea.blob.core.windows.net/assets/6ee41bb9-8e81-4b64-8701-2acc064ff6e4/AmmoniaTechnologyRoadmap.pdf" TargetMode="External"/><Relationship Id="rId20" Type="http://schemas.openxmlformats.org/officeDocument/2006/relationships/hyperlink" Target="https://missionpossiblepartnership.org/wp-content/uploads/2022/09/Making-1.5-Aligned-Ammonia-possible.pdf" TargetMode="External"/><Relationship Id="rId1" Type="http://schemas.openxmlformats.org/officeDocument/2006/relationships/hyperlink" Target="https://iea.blob.core.windows.net/assets/6ee41bb9-8e81-4b64-8701-2acc064ff6e4/AmmoniaTechnologyRoadmap.pdf" TargetMode="External"/><Relationship Id="rId6" Type="http://schemas.openxmlformats.org/officeDocument/2006/relationships/hyperlink" Target="https://iea.blob.core.windows.net/assets/6ee41bb9-8e81-4b64-8701-2acc064ff6e4/AmmoniaTechnologyRoadmap.pdf" TargetMode="External"/><Relationship Id="rId11" Type="http://schemas.openxmlformats.org/officeDocument/2006/relationships/hyperlink" Target="https://iea.blob.core.windows.net/assets/6ee41bb9-8e81-4b64-8701-2acc064ff6e4/AmmoniaTechnologyRoadmap.pdf" TargetMode="External"/><Relationship Id="rId5" Type="http://schemas.openxmlformats.org/officeDocument/2006/relationships/hyperlink" Target="https://iea.blob.core.windows.net/assets/6ee41bb9-8e81-4b64-8701-2acc064ff6e4/AmmoniaTechnologyRoadmap.pdf" TargetMode="External"/><Relationship Id="rId15" Type="http://schemas.openxmlformats.org/officeDocument/2006/relationships/hyperlink" Target="https://missionpossiblepartnership.org/wp-content/uploads/2022/09/Making-1.5-Aligned-Ammonia-possible.pdf" TargetMode="External"/><Relationship Id="rId23" Type="http://schemas.openxmlformats.org/officeDocument/2006/relationships/printerSettings" Target="../printerSettings/printerSettings11.bin"/><Relationship Id="rId10" Type="http://schemas.openxmlformats.org/officeDocument/2006/relationships/hyperlink" Target="https://iea.blob.core.windows.net/assets/6ee41bb9-8e81-4b64-8701-2acc064ff6e4/AmmoniaTechnologyRoadmap.pdf" TargetMode="External"/><Relationship Id="rId19" Type="http://schemas.openxmlformats.org/officeDocument/2006/relationships/hyperlink" Target="https://iea.blob.core.windows.net/assets/6ee41bb9-8e81-4b64-8701-2acc064ff6e4/AmmoniaTechnologyRoadmap.pdf" TargetMode="External"/><Relationship Id="rId4" Type="http://schemas.openxmlformats.org/officeDocument/2006/relationships/hyperlink" Target="https://iea.blob.core.windows.net/assets/6ee41bb9-8e81-4b64-8701-2acc064ff6e4/AmmoniaTechnologyRoadmap.pdf" TargetMode="External"/><Relationship Id="rId9" Type="http://schemas.openxmlformats.org/officeDocument/2006/relationships/hyperlink" Target="https://iea.blob.core.windows.net/assets/6ee41bb9-8e81-4b64-8701-2acc064ff6e4/AmmoniaTechnologyRoadmap.pdf" TargetMode="External"/><Relationship Id="rId14" Type="http://schemas.openxmlformats.org/officeDocument/2006/relationships/hyperlink" Target="https://www.irena.org/publications/2022/May/Innovation-Outlook-Renewable-Ammonia" TargetMode="External"/><Relationship Id="rId22" Type="http://schemas.openxmlformats.org/officeDocument/2006/relationships/hyperlink" Target="https://missionpossiblepartnership.org/wp-content/uploads/2022/09/Making-1.5-Aligned-Ammonia-possible.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iea.blob.core.windows.net/assets/6ee41bb9-8e81-4b64-8701-2acc064ff6e4/AmmoniaTechnologyRoadmap.pdf" TargetMode="External"/><Relationship Id="rId18" Type="http://schemas.openxmlformats.org/officeDocument/2006/relationships/hyperlink" Target="https://iea.blob.core.windows.net/assets/6ee41bb9-8e81-4b64-8701-2acc064ff6e4/AmmoniaTechnologyRoadmap.pdf" TargetMode="External"/><Relationship Id="rId26" Type="http://schemas.openxmlformats.org/officeDocument/2006/relationships/hyperlink" Target="https://www.iea.org/reports/world-energy-outlook-2022" TargetMode="External"/><Relationship Id="rId3" Type="http://schemas.openxmlformats.org/officeDocument/2006/relationships/hyperlink" Target="https://iea.blob.core.windows.net/assets/6ee41bb9-8e81-4b64-8701-2acc064ff6e4/AmmoniaTechnologyRoadmap.pdf" TargetMode="External"/><Relationship Id="rId21" Type="http://schemas.openxmlformats.org/officeDocument/2006/relationships/hyperlink" Target="https://iea.blob.core.windows.net/assets/6ee41bb9-8e81-4b64-8701-2acc064ff6e4/AmmoniaTechnologyRoadmap.pdf" TargetMode="External"/><Relationship Id="rId34" Type="http://schemas.openxmlformats.org/officeDocument/2006/relationships/hyperlink" Target="https://iea.blob.core.windows.net/assets/6ee41bb9-8e81-4b64-8701-2acc064ff6e4/AmmoniaTechnologyRoadmap.pdf" TargetMode="External"/><Relationship Id="rId7" Type="http://schemas.openxmlformats.org/officeDocument/2006/relationships/hyperlink" Target="https://iea.blob.core.windows.net/assets/6ee41bb9-8e81-4b64-8701-2acc064ff6e4/AmmoniaTechnologyRoadmap.pdf" TargetMode="External"/><Relationship Id="rId12" Type="http://schemas.openxmlformats.org/officeDocument/2006/relationships/hyperlink" Target="https://iea.blob.core.windows.net/assets/6ee41bb9-8e81-4b64-8701-2acc064ff6e4/AmmoniaTechnologyRoadmap.pdf" TargetMode="External"/><Relationship Id="rId17" Type="http://schemas.openxmlformats.org/officeDocument/2006/relationships/hyperlink" Target="https://iea.blob.core.windows.net/assets/6ee41bb9-8e81-4b64-8701-2acc064ff6e4/AmmoniaTechnologyRoadmap.pdf" TargetMode="External"/><Relationship Id="rId25" Type="http://schemas.openxmlformats.org/officeDocument/2006/relationships/hyperlink" Target="https://www.oecd-nea.org/upload/docs/application/pdf/2020-07/7530-reducing-cost-nuclear-construction.pdf" TargetMode="External"/><Relationship Id="rId33" Type="http://schemas.openxmlformats.org/officeDocument/2006/relationships/hyperlink" Target="https://iea.blob.core.windows.net/assets/6ee41bb9-8e81-4b64-8701-2acc064ff6e4/AmmoniaTechnologyRoadmap.pdf" TargetMode="External"/><Relationship Id="rId2" Type="http://schemas.openxmlformats.org/officeDocument/2006/relationships/hyperlink" Target="https://iea.blob.core.windows.net/assets/6ee41bb9-8e81-4b64-8701-2acc064ff6e4/AmmoniaTechnologyRoadmap.pdf" TargetMode="External"/><Relationship Id="rId16" Type="http://schemas.openxmlformats.org/officeDocument/2006/relationships/hyperlink" Target="https://iea.blob.core.windows.net/assets/6ee41bb9-8e81-4b64-8701-2acc064ff6e4/AmmoniaTechnologyRoadmap.pdf" TargetMode="External"/><Relationship Id="rId20" Type="http://schemas.openxmlformats.org/officeDocument/2006/relationships/hyperlink" Target="https://iea.blob.core.windows.net/assets/6ee41bb9-8e81-4b64-8701-2acc064ff6e4/AmmoniaTechnologyRoadmap.pdf" TargetMode="External"/><Relationship Id="rId29" Type="http://schemas.openxmlformats.org/officeDocument/2006/relationships/hyperlink" Target="https://missionpossiblepartnership.org/wp-content/uploads/2022/09/Making-1.5-Aligned-Ammonia-possible.pdf" TargetMode="External"/><Relationship Id="rId1" Type="http://schemas.openxmlformats.org/officeDocument/2006/relationships/hyperlink" Target="https://iea.blob.core.windows.net/assets/6ee41bb9-8e81-4b64-8701-2acc064ff6e4/AmmoniaTechnologyRoadmap.pdf" TargetMode="External"/><Relationship Id="rId6" Type="http://schemas.openxmlformats.org/officeDocument/2006/relationships/hyperlink" Target="https://iea.blob.core.windows.net/assets/6ee41bb9-8e81-4b64-8701-2acc064ff6e4/AmmoniaTechnologyRoadmap.pdf" TargetMode="External"/><Relationship Id="rId11" Type="http://schemas.openxmlformats.org/officeDocument/2006/relationships/hyperlink" Target="https://iea.blob.core.windows.net/assets/6ee41bb9-8e81-4b64-8701-2acc064ff6e4/AmmoniaTechnologyRoadmap.pdf" TargetMode="External"/><Relationship Id="rId24" Type="http://schemas.openxmlformats.org/officeDocument/2006/relationships/hyperlink" Target="https://www.stern.nyu.edu/~adamodar/New_Home_Page/data.html" TargetMode="External"/><Relationship Id="rId32" Type="http://schemas.openxmlformats.org/officeDocument/2006/relationships/hyperlink" Target="https://iea.blob.core.windows.net/assets/2a240ed2-006b-486c-a994-9df5550dce86/NetZeroRoadmap_AGlobalPathwaytoKeepthe1.5CGoalinReach-2023Update.pdf" TargetMode="External"/><Relationship Id="rId5" Type="http://schemas.openxmlformats.org/officeDocument/2006/relationships/hyperlink" Target="https://iea.blob.core.windows.net/assets/6ee41bb9-8e81-4b64-8701-2acc064ff6e4/AmmoniaTechnologyRoadmap.pdf" TargetMode="External"/><Relationship Id="rId15" Type="http://schemas.openxmlformats.org/officeDocument/2006/relationships/hyperlink" Target="https://iea.blob.core.windows.net/assets/6ee41bb9-8e81-4b64-8701-2acc064ff6e4/AmmoniaTechnologyRoadmap.pdf" TargetMode="External"/><Relationship Id="rId23"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28" Type="http://schemas.openxmlformats.org/officeDocument/2006/relationships/hyperlink" Target="https://missionpossiblepartnership.org/wp-content/uploads/2022/09/Making-1.5-Aligned-Ammonia-possible.pdf" TargetMode="External"/><Relationship Id="rId36" Type="http://schemas.openxmlformats.org/officeDocument/2006/relationships/drawing" Target="../drawings/drawing2.xml"/><Relationship Id="rId10" Type="http://schemas.openxmlformats.org/officeDocument/2006/relationships/hyperlink" Target="https://iea.blob.core.windows.net/assets/6ee41bb9-8e81-4b64-8701-2acc064ff6e4/AmmoniaTechnologyRoadmap.pdf" TargetMode="External"/><Relationship Id="rId19" Type="http://schemas.openxmlformats.org/officeDocument/2006/relationships/hyperlink" Target="https://iea.blob.core.windows.net/assets/6ee41bb9-8e81-4b64-8701-2acc064ff6e4/AmmoniaTechnologyRoadmap.pdf" TargetMode="External"/><Relationship Id="rId31"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 Id="rId4" Type="http://schemas.openxmlformats.org/officeDocument/2006/relationships/hyperlink" Target="https://iea.blob.core.windows.net/assets/6ee41bb9-8e81-4b64-8701-2acc064ff6e4/AmmoniaTechnologyRoadmap.pdf" TargetMode="External"/><Relationship Id="rId9" Type="http://schemas.openxmlformats.org/officeDocument/2006/relationships/hyperlink" Target="https://iea.blob.core.windows.net/assets/6ee41bb9-8e81-4b64-8701-2acc064ff6e4/AmmoniaTechnologyRoadmap.pdf" TargetMode="External"/><Relationship Id="rId14" Type="http://schemas.openxmlformats.org/officeDocument/2006/relationships/hyperlink" Target="https://iea.blob.core.windows.net/assets/6ee41bb9-8e81-4b64-8701-2acc064ff6e4/AmmoniaTechnologyRoadmap.pdf" TargetMode="External"/><Relationship Id="rId22"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27" Type="http://schemas.openxmlformats.org/officeDocument/2006/relationships/hyperlink" Target="https://missionpossiblepartnership.org/wp-content/uploads/2022/09/Making-1.5-Aligned-Ammonia-possible.pdf" TargetMode="External"/><Relationship Id="rId30" Type="http://schemas.openxmlformats.org/officeDocument/2006/relationships/hyperlink" Target="https://missionpossiblepartnership.org/wp-content/uploads/2022/09/Making-1.5-Aligned-Ammonia-possible.pdf" TargetMode="External"/><Relationship Id="rId35" Type="http://schemas.openxmlformats.org/officeDocument/2006/relationships/printerSettings" Target="../printerSettings/printerSettings12.bin"/><Relationship Id="rId8" Type="http://schemas.openxmlformats.org/officeDocument/2006/relationships/hyperlink" Target="https://iea.blob.core.windows.net/assets/6ee41bb9-8e81-4b64-8701-2acc064ff6e4/AmmoniaTechnologyRoadmap.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iea.org/articles/methane-tracker-database" TargetMode="External"/><Relationship Id="rId13" Type="http://schemas.openxmlformats.org/officeDocument/2006/relationships/hyperlink" Target="https://www.iea.org/reports/world-energy-outlook-2022" TargetMode="External"/><Relationship Id="rId18" Type="http://schemas.openxmlformats.org/officeDocument/2006/relationships/hyperlink" Target="https://www.iea.org/reports/emissions-from-oil-and-gas-operations-in-net-zero-transitions" TargetMode="External"/><Relationship Id="rId26" Type="http://schemas.openxmlformats.org/officeDocument/2006/relationships/printerSettings" Target="../printerSettings/printerSettings13.bin"/><Relationship Id="rId3" Type="http://schemas.openxmlformats.org/officeDocument/2006/relationships/hyperlink" Target="https://iea.blob.core.windows.net/assets/77ecf96c-5f4b-4d0d-9d93-d81b938217cb/World_Energy_Outlook_2018.pdf" TargetMode="External"/><Relationship Id="rId21" Type="http://schemas.openxmlformats.org/officeDocument/2006/relationships/hyperlink" Target="https://www.iea.org/reports/world-energy-outlook-2022" TargetMode="External"/><Relationship Id="rId7" Type="http://schemas.openxmlformats.org/officeDocument/2006/relationships/hyperlink" Target="https://www.iea.org/articles/methane-tracker-database" TargetMode="External"/><Relationship Id="rId12" Type="http://schemas.openxmlformats.org/officeDocument/2006/relationships/hyperlink" Target="https://co2re.co/FacilityData" TargetMode="External"/><Relationship Id="rId17" Type="http://schemas.openxmlformats.org/officeDocument/2006/relationships/hyperlink" Target="https://www.iea.org/reports/emissions-from-oil-and-gas-operations-in-net-zero-transitions" TargetMode="External"/><Relationship Id="rId25" Type="http://schemas.openxmlformats.org/officeDocument/2006/relationships/hyperlink" Target="https://iea.blob.core.windows.net/assets/2a240ed2-006b-486c-a994-9df5550dce86/NetZeroRoadmap_AGlobalPathwaytoKeepthe1.5CGoalinReach-2023Update.pdf" TargetMode="External"/><Relationship Id="rId2" Type="http://schemas.openxmlformats.org/officeDocument/2006/relationships/hyperlink" Target="https://iea.blob.core.windows.net/assets/77ecf96c-5f4b-4d0d-9d93-d81b938217cb/World_Energy_Outlook_2018.pdf" TargetMode="External"/><Relationship Id="rId16" Type="http://schemas.openxmlformats.org/officeDocument/2006/relationships/hyperlink" Target="https://rmi.org/insight/emissions-out-the-gate/" TargetMode="External"/><Relationship Id="rId20" Type="http://schemas.openxmlformats.org/officeDocument/2006/relationships/hyperlink" Target="https://iea.blob.core.windows.net/assets/6b994ae3-17fe-4a44-8bb8-eb1217cc4604/-18JAN2023_OilMarketReport.pdf" TargetMode="External"/><Relationship Id="rId1" Type="http://schemas.openxmlformats.org/officeDocument/2006/relationships/hyperlink" Target="https://iea.blob.core.windows.net/assets/77ecf96c-5f4b-4d0d-9d93-d81b938217cb/World_Energy_Outlook_2018.pdf" TargetMode="External"/><Relationship Id="rId6" Type="http://schemas.openxmlformats.org/officeDocument/2006/relationships/hyperlink" Target="https://iea.blob.core.windows.net/assets/77ecf96c-5f4b-4d0d-9d93-d81b938217cb/World_Energy_Outlook_2018.pdf" TargetMode="External"/><Relationship Id="rId11" Type="http://schemas.openxmlformats.org/officeDocument/2006/relationships/hyperlink" Target="https://www.iea.org/articles/methane-tracker-database" TargetMode="External"/><Relationship Id="rId24" Type="http://schemas.openxmlformats.org/officeDocument/2006/relationships/hyperlink" Target="https://iea.blob.core.windows.net/assets/2a240ed2-006b-486c-a994-9df5550dce86/NetZeroRoadmap_AGlobalPathwaytoKeepthe1.5CGoalinReach-2023Update.pdf" TargetMode="External"/><Relationship Id="rId5" Type="http://schemas.openxmlformats.org/officeDocument/2006/relationships/hyperlink" Target="https://www.iea.org/articles/methane-tracker-database" TargetMode="External"/><Relationship Id="rId15" Type="http://schemas.openxmlformats.org/officeDocument/2006/relationships/hyperlink" Target="https://iea.blob.core.windows.net/assets/6b994ae3-17fe-4a44-8bb8-eb1217cc4604/-18JAN2023_OilMarketReport.pdf" TargetMode="External"/><Relationship Id="rId23" Type="http://schemas.openxmlformats.org/officeDocument/2006/relationships/hyperlink" Target="https://iea.blob.core.windows.net/assets/52f66a88-0b63-4ad2-94a5-29d36e864b82/KeyWorldEnergyStatistics2021.pdf" TargetMode="External"/><Relationship Id="rId10" Type="http://schemas.openxmlformats.org/officeDocument/2006/relationships/hyperlink" Target="https://www.iea.org/data-and-statistics/charts/spectrum-of-the-well-to-tank-emissions-intensity-of-global-oil-production-2019" TargetMode="External"/><Relationship Id="rId19" Type="http://schemas.openxmlformats.org/officeDocument/2006/relationships/hyperlink" Target="https://www.iea.org/reports/emissions-from-oil-and-gas-operations-in-net-zero-transitions" TargetMode="External"/><Relationship Id="rId4" Type="http://schemas.openxmlformats.org/officeDocument/2006/relationships/hyperlink" Target="https://www.iea.org/articles/methane-tracker-database" TargetMode="External"/><Relationship Id="rId9" Type="http://schemas.openxmlformats.org/officeDocument/2006/relationships/hyperlink" Target="https://www.eia.gov/environment/emissions/co2_vol_mass.php" TargetMode="External"/><Relationship Id="rId14" Type="http://schemas.openxmlformats.org/officeDocument/2006/relationships/hyperlink" Target="https://www.iea.org/reports/world-energy-outlook-2022" TargetMode="External"/><Relationship Id="rId22" Type="http://schemas.openxmlformats.org/officeDocument/2006/relationships/hyperlink" Target="https://www.iea.org/reports/world-energy-outlook-2022"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iea.blob.core.windows.net/assets/e57fd1ee-aac7-494d-a351-f2a4024909b4/GlobalHydrogenReview2021.pdf" TargetMode="External"/><Relationship Id="rId18" Type="http://schemas.openxmlformats.org/officeDocument/2006/relationships/hyperlink" Target="https://www.oecd-nea.org/upload/docs/application/pdf/2020-07/7530-reducing-cost-nuclear-construction.pdf" TargetMode="External"/><Relationship Id="rId26" Type="http://schemas.openxmlformats.org/officeDocument/2006/relationships/hyperlink" Target="https://www.dnv.com/cases/carbon-emission-reduction-roadmap-for-refineries-135592https:/www.dnv.com/cases/carbon-emission-reduction-roadmap-for-refineries-135592" TargetMode="External"/><Relationship Id="rId39" Type="http://schemas.openxmlformats.org/officeDocument/2006/relationships/printerSettings" Target="../printerSettings/printerSettings14.bin"/><Relationship Id="rId21" Type="http://schemas.openxmlformats.org/officeDocument/2006/relationships/hyperlink" Target="https://www.iea.org/articles/methane-tracker-database" TargetMode="External"/><Relationship Id="rId34" Type="http://schemas.openxmlformats.org/officeDocument/2006/relationships/hyperlink" Target="https://www.globalccsinstitute.com/archive/hub/publications/201688/global-ccs-cost-updatev4.pdf" TargetMode="External"/><Relationship Id="rId7" Type="http://schemas.openxmlformats.org/officeDocument/2006/relationships/hyperlink" Target="https://www.sciencedaily.com/releases/2020/07/200716144736.htm" TargetMode="External"/><Relationship Id="rId12" Type="http://schemas.openxmlformats.org/officeDocument/2006/relationships/hyperlink" Target="https://rmi.org/run-on-less-with-hydrogen-fuel-cells/" TargetMode="External"/><Relationship Id="rId17" Type="http://schemas.openxmlformats.org/officeDocument/2006/relationships/hyperlink" Target="https://www.eia.gov/energyexplained/oil-and-petroleum-products/refining-crude-oil-inputs-and-outputs.php" TargetMode="External"/><Relationship Id="rId25" Type="http://schemas.openxmlformats.org/officeDocument/2006/relationships/hyperlink" Target="https://www.iea.org/reports/world-energy-outlook-2022" TargetMode="External"/><Relationship Id="rId33" Type="http://schemas.openxmlformats.org/officeDocument/2006/relationships/hyperlink" Target="https://www.iea.org/reports/emissions-from-oil-and-gas-operations-in-net-zero-transitions" TargetMode="External"/><Relationship Id="rId38" Type="http://schemas.openxmlformats.org/officeDocument/2006/relationships/hyperlink" Target="https://www.stern.nyu.edu/~adamodar/New_Home_Page/data.html" TargetMode="External"/><Relationship Id="rId2" Type="http://schemas.openxmlformats.org/officeDocument/2006/relationships/hyperlink" Target="https://www.iea.org/articles/methane-tracker-database" TargetMode="External"/><Relationship Id="rId16" Type="http://schemas.openxmlformats.org/officeDocument/2006/relationships/hyperlink" Target="https://www.eia.gov/energyexplained/oil-and-petroleum-products/refining-crude-oil-inputs-and-outputs.php" TargetMode="External"/><Relationship Id="rId20" Type="http://schemas.openxmlformats.org/officeDocument/2006/relationships/hyperlink" Target="https://www.dnv.com/cases/carbon-emission-reduction-roadmap-for-refineries-135592" TargetMode="External"/><Relationship Id="rId29" Type="http://schemas.openxmlformats.org/officeDocument/2006/relationships/hyperlink" Target="https://www.iea.org/data-and-statistics/charts/spectrum-of-the-well-to-tank-emissions-intensity-of-global-oil-production-2019" TargetMode="External"/><Relationship Id="rId1" Type="http://schemas.openxmlformats.org/officeDocument/2006/relationships/hyperlink" Target="https://www.iea.org/reports/flaring-emissions" TargetMode="External"/><Relationship Id="rId6" Type="http://schemas.openxmlformats.org/officeDocument/2006/relationships/hyperlink" Target="https://www.eoriwyoming.org/library/economics/electrifying-the-oilfield-the-comparative-economics-of-grid-power-and-onsite-gas-generators-draft-30jan2017" TargetMode="External"/><Relationship Id="rId11" Type="http://schemas.openxmlformats.org/officeDocument/2006/relationships/hyperlink" Target="https://www.sciencedaily.com/releases/2020/07/200716144736.htm" TargetMode="External"/><Relationship Id="rId24" Type="http://schemas.openxmlformats.org/officeDocument/2006/relationships/hyperlink" Target="https://www.iea.org/articles/etp-clean-energy-technology-guide" TargetMode="External"/><Relationship Id="rId32" Type="http://schemas.openxmlformats.org/officeDocument/2006/relationships/hyperlink" Target="https://www.iea.org/reports/emissions-from-oil-and-gas-operations-in-net-zero-transitions" TargetMode="External"/><Relationship Id="rId37" Type="http://schemas.openxmlformats.org/officeDocument/2006/relationships/hyperlink" Target="https://iea.blob.core.windows.net/assets/2a240ed2-006b-486c-a994-9df5550dce86/NetZeroRoadmap_AGlobalPathwaytoKeepthe1.5CGoalinReach-2023Update.pdf" TargetMode="External"/><Relationship Id="rId5" Type="http://schemas.openxmlformats.org/officeDocument/2006/relationships/hyperlink" Target="https://www.eoriwyoming.org/library/economics/electrifying-the-oilfield-the-comparative-economics-of-grid-power-and-onsite-gas-generators-draft-30jan2017" TargetMode="External"/><Relationship Id="rId15" Type="http://schemas.openxmlformats.org/officeDocument/2006/relationships/hyperlink" Target="https://www.eia.gov/energyexplained/oil-and-petroleum-products/refining-crude-oil-inputs-and-outputs.php" TargetMode="External"/><Relationship Id="rId23" Type="http://schemas.openxmlformats.org/officeDocument/2006/relationships/hyperlink" Target="https://www.dnv.com/cases/carbon-emission-reduction-roadmap-for-refineries-135592https:/www.dnv.com/cases/carbon-emission-reduction-roadmap-for-refineries-135592" TargetMode="External"/><Relationship Id="rId28" Type="http://schemas.openxmlformats.org/officeDocument/2006/relationships/hyperlink" Target="https://iea.blob.core.windows.net/assets/6b994ae3-17fe-4a44-8bb8-eb1217cc4604/-18JAN2023_OilMarketReport.pdf" TargetMode="External"/><Relationship Id="rId36" Type="http://schemas.openxmlformats.org/officeDocument/2006/relationships/hyperlink" Target="https://iea.blob.core.windows.net/assets/2a240ed2-006b-486c-a994-9df5550dce86/NetZeroRoadmap_AGlobalPathwaytoKeepthe1.5CGoalinReach-2023Update.pdf" TargetMode="External"/><Relationship Id="rId10" Type="http://schemas.openxmlformats.org/officeDocument/2006/relationships/hyperlink" Target="https://www.dnv.com/cases/carbon-emission-reduction-roadmap-for-refineries-135592" TargetMode="External"/><Relationship Id="rId19" Type="http://schemas.openxmlformats.org/officeDocument/2006/relationships/hyperlink" Target="https://www.iea.org/reports/global-methane-tracker-2023/strategies-to-reduce-emissions-from-oil-and-gas-operations" TargetMode="External"/><Relationship Id="rId31" Type="http://schemas.openxmlformats.org/officeDocument/2006/relationships/hyperlink" Target="https://iea.blob.core.windows.net/assets/6b994ae3-17fe-4a44-8bb8-eb1217cc4604/-18JAN2023_OilMarketReport.pdf" TargetMode="External"/><Relationship Id="rId4" Type="http://schemas.openxmlformats.org/officeDocument/2006/relationships/hyperlink" Target="https://www.iea.org/articles/methane-tracker-database" TargetMode="External"/><Relationship Id="rId9" Type="http://schemas.openxmlformats.org/officeDocument/2006/relationships/hyperlink" Target="https://www.dnv.com/cases/carbon-emission-reduction-roadmap-for-refineries-135592" TargetMode="External"/><Relationship Id="rId14" Type="http://schemas.openxmlformats.org/officeDocument/2006/relationships/hyperlink" Target="https://blogs.edf.org/energyexchange/files/2022/02/Attachment-W-Rystad-Energy-Report_-Cost-of-Flaring-Abatement.pdf?_gl=1*1jmel8o*_ga*ODEyNzkzOTYxLjE2MzU4NzI0NzY.*_ga_WE3BPRQKW0*MTY0Mzc2MTc2Ny4xNTMuMS4xNjQzNzYxNzY4LjU5" TargetMode="External"/><Relationship Id="rId22" Type="http://schemas.openxmlformats.org/officeDocument/2006/relationships/hyperlink" Target="https://www.dnv.com/cases/carbon-emission-reduction-roadmap-for-refineries-135592https:/www.dnv.com/cases/carbon-emission-reduction-roadmap-for-refineries-135592" TargetMode="External"/><Relationship Id="rId27" Type="http://schemas.openxmlformats.org/officeDocument/2006/relationships/hyperlink" Target="https://www.iea.org/reports/world-energy-outlook-2022" TargetMode="External"/><Relationship Id="rId30" Type="http://schemas.openxmlformats.org/officeDocument/2006/relationships/hyperlink" Target="https://iea.blob.core.windows.net/assets/6b994ae3-17fe-4a44-8bb8-eb1217cc4604/-18JAN2023_OilMarketReport.pdf" TargetMode="External"/><Relationship Id="rId35"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 Id="rId8" Type="http://schemas.openxmlformats.org/officeDocument/2006/relationships/hyperlink" Target="https://www.dnv.com/cases/carbon-emission-reduction-roadmap-for-refineries-135592" TargetMode="External"/><Relationship Id="rId3" Type="http://schemas.openxmlformats.org/officeDocument/2006/relationships/hyperlink" Target="https://www.iea.org/reports/flaring-emissions"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ea.org/reports/emissions-from-oil-and-gas-operations-in-net-zero-transitions" TargetMode="External"/><Relationship Id="rId13" Type="http://schemas.openxmlformats.org/officeDocument/2006/relationships/hyperlink" Target="https://www.iea.org/reports/world-energy-outlook-2022" TargetMode="External"/><Relationship Id="rId18" Type="http://schemas.openxmlformats.org/officeDocument/2006/relationships/hyperlink" Target="https://www.iea.org/reports/world-energy-outlook-2022" TargetMode="External"/><Relationship Id="rId3" Type="http://schemas.openxmlformats.org/officeDocument/2006/relationships/hyperlink" Target="https://www.shell.com/sustainability/transparency-and-sustainability-reporting/performance-data/greenhouse-gas-emissions.html" TargetMode="External"/><Relationship Id="rId7" Type="http://schemas.openxmlformats.org/officeDocument/2006/relationships/hyperlink" Target="https://www.iea.org/reports/about-ccus" TargetMode="External"/><Relationship Id="rId12" Type="http://schemas.openxmlformats.org/officeDocument/2006/relationships/hyperlink" Target="https://iea.blob.core.windows.net/assets/c6ca64dc-240d-4a7c-b327-e1799201b98f/GasMarketReportQ12023.pdf" TargetMode="External"/><Relationship Id="rId17" Type="http://schemas.openxmlformats.org/officeDocument/2006/relationships/hyperlink" Target="https://www.iea.org/reports/world-energy-outlook-2022" TargetMode="External"/><Relationship Id="rId2" Type="http://schemas.openxmlformats.org/officeDocument/2006/relationships/hyperlink" Target="https://www.imperial.ac.uk/media/imperial-college/research-centres-and-groups/sustainable-gas-institute/SGI_White_Paper_methane-and-CO2-emissions_WEB-FINAL.pdf" TargetMode="External"/><Relationship Id="rId16" Type="http://schemas.openxmlformats.org/officeDocument/2006/relationships/hyperlink" Target="https://www.iea.org/reports/world-energy-outlook-2022" TargetMode="External"/><Relationship Id="rId1" Type="http://schemas.openxmlformats.org/officeDocument/2006/relationships/hyperlink" Target="https://www.eia.gov/environment/emissions/co2_vol_mass.php" TargetMode="External"/><Relationship Id="rId6" Type="http://schemas.openxmlformats.org/officeDocument/2006/relationships/hyperlink" Target="https://www.iea.org/data-and-statistics/charts/spectrum-of-the-well-to-tank-emissions-intensity-of-global-gas-production-2018" TargetMode="External"/><Relationship Id="rId11" Type="http://schemas.openxmlformats.org/officeDocument/2006/relationships/hyperlink" Target="https://www.iea.org/reports/emissions-from-oil-and-gas-operations-in-net-zero-transitions" TargetMode="External"/><Relationship Id="rId5" Type="http://schemas.openxmlformats.org/officeDocument/2006/relationships/hyperlink" Target="https://www.iea.org/articles/methane-tracker-database" TargetMode="External"/><Relationship Id="rId15" Type="http://schemas.openxmlformats.org/officeDocument/2006/relationships/hyperlink" Target="https://www.iea.org/reports/world-energy-outlook-2022" TargetMode="External"/><Relationship Id="rId10" Type="http://schemas.openxmlformats.org/officeDocument/2006/relationships/hyperlink" Target="https://www.iea.org/articles/methane-tracker-database" TargetMode="External"/><Relationship Id="rId19" Type="http://schemas.openxmlformats.org/officeDocument/2006/relationships/printerSettings" Target="../printerSettings/printerSettings15.bin"/><Relationship Id="rId4" Type="http://schemas.openxmlformats.org/officeDocument/2006/relationships/hyperlink" Target="https://www.iea.org/articles/methane-tracker-database" TargetMode="External"/><Relationship Id="rId9" Type="http://schemas.openxmlformats.org/officeDocument/2006/relationships/hyperlink" Target="https://iea.blob.core.windows.net/assets/c6ca64dc-240d-4a7c-b327-e1799201b98f/GasMarketReportQ12023.pdf" TargetMode="External"/><Relationship Id="rId14" Type="http://schemas.openxmlformats.org/officeDocument/2006/relationships/hyperlink" Target="https://www.iea.org/reports/world-energy-outlook-2022"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globalccsinstitute.com/archive/hub/publications/201688/global-ccs-cost-updatev4.pdf" TargetMode="External"/><Relationship Id="rId13" Type="http://schemas.openxmlformats.org/officeDocument/2006/relationships/hyperlink" Target="https://www.iea.org/data-and-statistics/charts/global-natural-gas-demand-per-sector-2005-2025" TargetMode="External"/><Relationship Id="rId18" Type="http://schemas.openxmlformats.org/officeDocument/2006/relationships/hyperlink" Target="https://www.iea.org/articles/methane-tracker-database" TargetMode="External"/><Relationship Id="rId26" Type="http://schemas.openxmlformats.org/officeDocument/2006/relationships/hyperlink" Target="https://www.eia.gov/outlooks/steo/pdf/steo_full.pdf" TargetMode="External"/><Relationship Id="rId3" Type="http://schemas.openxmlformats.org/officeDocument/2006/relationships/hyperlink" Target="https://iopscience.iop.org/article/10.1088/1742-6596/547/1/012012/pdf" TargetMode="External"/><Relationship Id="rId21" Type="http://schemas.openxmlformats.org/officeDocument/2006/relationships/hyperlink" Target="https://www.iea.org/reports/world-energy-outlook-2022" TargetMode="External"/><Relationship Id="rId7"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12" Type="http://schemas.openxmlformats.org/officeDocument/2006/relationships/hyperlink" Target="https://www.iea.org/data-and-statistics/charts/global-natural-gas-demand-per-sector-2005-2025" TargetMode="External"/><Relationship Id="rId17" Type="http://schemas.openxmlformats.org/officeDocument/2006/relationships/hyperlink" Target="https://www.iea.org/articles/methane-tracker-database" TargetMode="External"/><Relationship Id="rId25" Type="http://schemas.openxmlformats.org/officeDocument/2006/relationships/hyperlink" Target="https://www.eia.gov/outlooks/steo/pdf/steo_full.pdf" TargetMode="External"/><Relationship Id="rId2" Type="http://schemas.openxmlformats.org/officeDocument/2006/relationships/hyperlink" Target="https://library.e.abb.com/public/9e770a172afc8d7ec125779e004b9974/Paper%20LNG_Rev%20A_lowres.pdf" TargetMode="External"/><Relationship Id="rId16" Type="http://schemas.openxmlformats.org/officeDocument/2006/relationships/hyperlink" Target="https://www.eoriwyoming.org/library/economics/electrifying-the-oilfield-the-comparative-economics-of-grid-power-and-onsite-gas-generators-draft-30jan2017" TargetMode="External"/><Relationship Id="rId20" Type="http://schemas.openxmlformats.org/officeDocument/2006/relationships/hyperlink" Target="https://www.globalccsinstitute.com/wp-content/uploads/2021/03/Technology-Readiness-and-Costs-for-CCS-2021-1.pdf" TargetMode="External"/><Relationship Id="rId29" Type="http://schemas.openxmlformats.org/officeDocument/2006/relationships/hyperlink" Target="https://www.stern.nyu.edu/~adamodar/New_Home_Page/data.html" TargetMode="External"/><Relationship Id="rId1" Type="http://schemas.openxmlformats.org/officeDocument/2006/relationships/hyperlink" Target="https://library.e.abb.com/public/9e770a172afc8d7ec125779e004b9974/Paper%20LNG_Rev%20A_lowres.pdf" TargetMode="External"/><Relationship Id="rId6"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11" Type="http://schemas.openxmlformats.org/officeDocument/2006/relationships/hyperlink" Target="https://www.iea.org/data-and-statistics/charts/global-natural-gas-demand-per-sector-2005-2025" TargetMode="External"/><Relationship Id="rId24" Type="http://schemas.openxmlformats.org/officeDocument/2006/relationships/hyperlink" Target="https://www.eia.gov/dnav/ng/hist/rngwhhdm.htm" TargetMode="External"/><Relationship Id="rId5" Type="http://schemas.openxmlformats.org/officeDocument/2006/relationships/hyperlink" Target="https://iea.blob.core.windows.net/assets/261043cc-0cb6-498b-98fa-a1f48715b91f/GasMarketReportQ42021.pdf" TargetMode="External"/><Relationship Id="rId15" Type="http://schemas.openxmlformats.org/officeDocument/2006/relationships/hyperlink" Target="https://www.oecd-nea.org/upload/docs/application/pdf/2020-07/7530-reducing-cost-nuclear-construction.pdf" TargetMode="External"/><Relationship Id="rId23" Type="http://schemas.openxmlformats.org/officeDocument/2006/relationships/hyperlink" Target="https://www.igu.org/resources/world-lng-report-2022/" TargetMode="External"/><Relationship Id="rId28" Type="http://schemas.openxmlformats.org/officeDocument/2006/relationships/hyperlink" Target="https://iea.blob.core.windows.net/assets/2a240ed2-006b-486c-a994-9df5550dce86/NetZeroRoadmap_AGlobalPathwaytoKeepthe1.5CGoalinReach-2023Update.pdf" TargetMode="External"/><Relationship Id="rId10" Type="http://schemas.openxmlformats.org/officeDocument/2006/relationships/hyperlink" Target="https://www.iea.org/articles/methane-tracker-database" TargetMode="External"/><Relationship Id="rId19" Type="http://schemas.openxmlformats.org/officeDocument/2006/relationships/hyperlink" Target="https://www.iea.org/articles/methane-tracker-database" TargetMode="External"/><Relationship Id="rId4" Type="http://schemas.openxmlformats.org/officeDocument/2006/relationships/hyperlink" Target="https://www.eoriwyoming.org/library/economics/electrifying-the-oilfield-the-comparative-economics-of-grid-power-and-onsite-gas-generators-draft-30jan2017" TargetMode="External"/><Relationship Id="rId9" Type="http://schemas.openxmlformats.org/officeDocument/2006/relationships/hyperlink" Target="https://www.iea.org/articles/methane-tracker-database" TargetMode="External"/><Relationship Id="rId14" Type="http://schemas.openxmlformats.org/officeDocument/2006/relationships/hyperlink" Target="https://www.iea.org/articles/methane-tracker-database" TargetMode="External"/><Relationship Id="rId22" Type="http://schemas.openxmlformats.org/officeDocument/2006/relationships/hyperlink" Target="https://www.iea.org/reports/world-energy-outlook-2022" TargetMode="External"/><Relationship Id="rId27"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 Id="rId30"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verifavia-shipping.com/shipping-carbon-emissions-verification/faq-which-emission-factors-shall-be-used-110.php" TargetMode="External"/><Relationship Id="rId13"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 Id="rId18"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 Id="rId3" Type="http://schemas.openxmlformats.org/officeDocument/2006/relationships/hyperlink" Target="https://wwwcdn.imo.org/localresources/en/OurWork/Environment/Documents/Fourth%20IMO%20GHG%20Study%202020%20-%20Full%20report%20and%20annexes.pdf" TargetMode="External"/><Relationship Id="rId7" Type="http://schemas.openxmlformats.org/officeDocument/2006/relationships/hyperlink" Target="https://wwwcdn.imo.org/localresources/en/OurWork/Environment/Documents/Fourth%20IMO%20GHG%20Study%202020%20-%20Full%20report%20and%20annexes.pdf" TargetMode="External"/><Relationship Id="rId12" Type="http://schemas.openxmlformats.org/officeDocument/2006/relationships/hyperlink" Target="https://www.irena.org/-/media/Files/IRENA/Agency/Publication/2021/Oct/IRENA_Decarbonising_Shipping_2021.pdf" TargetMode="External"/><Relationship Id="rId17"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 Id="rId2" Type="http://schemas.openxmlformats.org/officeDocument/2006/relationships/hyperlink" Target="https://unctad.org/rmt2022" TargetMode="External"/><Relationship Id="rId16"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 Id="rId20" Type="http://schemas.openxmlformats.org/officeDocument/2006/relationships/printerSettings" Target="../printerSettings/printerSettings17.bin"/><Relationship Id="rId1" Type="http://schemas.openxmlformats.org/officeDocument/2006/relationships/hyperlink" Target="https://wwwcdn.imo.org/localresources/en/OurWork/Environment/Documents/Fourth%20IMO%20GHG%20Study%202020%20-%20Full%20report%20and%20annexes.pdf" TargetMode="External"/><Relationship Id="rId6" Type="http://schemas.openxmlformats.org/officeDocument/2006/relationships/hyperlink" Target="https://wwwcdn.imo.org/localresources/en/OurWork/Environment/Documents/Fourth%20IMO%20GHG%20Study%202020%20-%20Full%20report%20and%20annexes.pdf" TargetMode="External"/><Relationship Id="rId11" Type="http://schemas.openxmlformats.org/officeDocument/2006/relationships/hyperlink" Target="https://www.irena.org/-/media/Files/IRENA/Agency/Publication/2021/Oct/IRENA_Decarbonising_Shipping_2021.pdf" TargetMode="External"/><Relationship Id="rId5" Type="http://schemas.openxmlformats.org/officeDocument/2006/relationships/hyperlink" Target="https://wwwcdn.imo.org/localresources/en/OurWork/Environment/Documents/Fourth%20IMO%20GHG%20Study%202020%20-%20Full%20report%20and%20annexes.pdf" TargetMode="External"/><Relationship Id="rId15"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 Id="rId10" Type="http://schemas.openxmlformats.org/officeDocument/2006/relationships/hyperlink" Target="https://unctad.org/rmt2022" TargetMode="External"/><Relationship Id="rId19" Type="http://schemas.openxmlformats.org/officeDocument/2006/relationships/hyperlink" Target="https://wwwcdn.imo.org/localresources/en/OurWork/Environment/Documents/Fourth%20IMO%20GHG%20Study%202020%20-%20Full%20report%20and%20annexes.pdf" TargetMode="External"/><Relationship Id="rId4" Type="http://schemas.openxmlformats.org/officeDocument/2006/relationships/hyperlink" Target="https://wwwcdn.imo.org/localresources/en/OurWork/Environment/Documents/Fourth%20IMO%20GHG%20Study%202020%20-%20Full%20report%20and%20annexes.pdf" TargetMode="External"/><Relationship Id="rId9" Type="http://schemas.openxmlformats.org/officeDocument/2006/relationships/hyperlink" Target="https://www.verifavia-shipping.com/shipping-carbon-emissions-verification/faq-which-emission-factors-shall-be-used-110.php" TargetMode="External"/><Relationship Id="rId14" Type="http://schemas.openxmlformats.org/officeDocument/2006/relationships/hyperlink" Target="https://wwwcdn.imo.org/localresources/en/OurWork/Environment/Documents/Air%20pollution/MEPC%2079-6-1%20-%20Report%20of%20fuel%20oil%20consumption%20data%20submitted%20to%20the%20IMO%20Ship%20Fuel%20Oil%20ConsumptionDatabase...%20(Secretariat).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emsa.europa.eu/newsroom/latest-news/item/4833-potential-of-ammonia-as-fuel-in-shipping.html" TargetMode="External"/><Relationship Id="rId13" Type="http://schemas.openxmlformats.org/officeDocument/2006/relationships/hyperlink" Target="https://cms.zerocarbonshipping.com/media/uploads/documents/MMMCZCS_Industry-Transition-Strategy_Oct_2021.pdf" TargetMode="External"/><Relationship Id="rId18" Type="http://schemas.openxmlformats.org/officeDocument/2006/relationships/hyperlink" Target="https://www.globalmaritimeforum.org/content/2020/11/The-First-Wave-%E2%80%93-A-blueprint-for-commercial-scale-zero-emission-shipping-pilots.pdf" TargetMode="External"/><Relationship Id="rId3" Type="http://schemas.openxmlformats.org/officeDocument/2006/relationships/hyperlink" Target="https://www.iea.org/reports/world-energy-outlook-2022" TargetMode="External"/><Relationship Id="rId21" Type="http://schemas.openxmlformats.org/officeDocument/2006/relationships/hyperlink" Target="https://www.dnv.com/maritime/publications/maritime-forecast-2022/fuel-mix-scenarios.html" TargetMode="External"/><Relationship Id="rId7" Type="http://schemas.openxmlformats.org/officeDocument/2006/relationships/hyperlink" Target="https://www.dnv.com/maritime/publications/maritime-forecast-2022/fuel-mix-scenarios.html" TargetMode="External"/><Relationship Id="rId12" Type="http://schemas.openxmlformats.org/officeDocument/2006/relationships/hyperlink" Target="https://cms.zerocarbonshipping.com/media/uploads/documents/MMMCZCS_Industry-Transition-Strategy_Oct_2021.pdf" TargetMode="External"/><Relationship Id="rId17" Type="http://schemas.openxmlformats.org/officeDocument/2006/relationships/hyperlink" Target="https://www.dnv.com/maritime/publications/maritime-forecast-2022/fuel-mix-scenarios.html" TargetMode="External"/><Relationship Id="rId2" Type="http://schemas.openxmlformats.org/officeDocument/2006/relationships/hyperlink" Target="https://www.oecd-nea.org/upload/docs/application/pdf/2020-07/7530-reducing-cost-nuclear-construction.pdf" TargetMode="External"/><Relationship Id="rId16" Type="http://schemas.openxmlformats.org/officeDocument/2006/relationships/hyperlink" Target="https://sea-lng.org/wp-content/uploads/2019/04/190410_SEALNG_GHG_Messaging_Document_DIGITAL-compressed.pdf" TargetMode="External"/><Relationship Id="rId20" Type="http://schemas.openxmlformats.org/officeDocument/2006/relationships/hyperlink" Target="https://www.irena.org/-/media/Files/IRENA/Agency/Publication/2021/Oct/IRENA_Decarbonising_Shipping_2021.pdf" TargetMode="External"/><Relationship Id="rId1" Type="http://schemas.openxmlformats.org/officeDocument/2006/relationships/hyperlink" Target="https://www.irena.org/publications/2022/Jul/Renewable-Power-Generation-Costs-in-2021" TargetMode="External"/><Relationship Id="rId6" Type="http://schemas.openxmlformats.org/officeDocument/2006/relationships/hyperlink" Target="https://www.dnv.com/maritime/publications/maritime-forecast-2022/fuel-mix-scenarios.html" TargetMode="External"/><Relationship Id="rId11" Type="http://schemas.openxmlformats.org/officeDocument/2006/relationships/hyperlink" Target="https://www.dnv.com/maritime/publications/maritime-forecast-2022/fuel-mix-scenarios.html" TargetMode="External"/><Relationship Id="rId5" Type="http://schemas.openxmlformats.org/officeDocument/2006/relationships/hyperlink" Target="https://www.dnv.com/maritime/publications/maritime-forecast-2022/fuel-mix-scenarios.html" TargetMode="External"/><Relationship Id="rId15" Type="http://schemas.openxmlformats.org/officeDocument/2006/relationships/hyperlink" Target="https://cms.zerocarbonshipping.com/media/uploads/documents/MMMCZCS_Industry-Transition-Strategy_Oct_2021.pdf" TargetMode="External"/><Relationship Id="rId23" Type="http://schemas.openxmlformats.org/officeDocument/2006/relationships/printerSettings" Target="../printerSettings/printerSettings18.bin"/><Relationship Id="rId10" Type="http://schemas.openxmlformats.org/officeDocument/2006/relationships/hyperlink" Target="https://transportgeography.org/contents/chapter5/transportation-modes-modal-competition-modal-shift/freight-transport-revenue-ton-mile/" TargetMode="External"/><Relationship Id="rId19" Type="http://schemas.openxmlformats.org/officeDocument/2006/relationships/hyperlink" Target="https://www.emsa.europa.eu/newsroom/latest-news/item/4833-potential-of-ammonia-as-fuel-in-shipping.html" TargetMode="External"/><Relationship Id="rId4" Type="http://schemas.openxmlformats.org/officeDocument/2006/relationships/hyperlink" Target="https://www.irena.org/-/media/Files/IRENA/Agency/Publication/2021/Oct/IRENA_Decarbonising_Shipping_2021.pdf" TargetMode="External"/><Relationship Id="rId9" Type="http://schemas.openxmlformats.org/officeDocument/2006/relationships/hyperlink" Target="https://www.globalmaritimeforum.org/content/2020/11/The-First-Wave-%E2%80%93-A-blueprint-for-commercial-scale-zero-emission-shipping-pilots.pdf" TargetMode="External"/><Relationship Id="rId14" Type="http://schemas.openxmlformats.org/officeDocument/2006/relationships/hyperlink" Target="https://www.globalmaritimeforum.org/content/2020/11/The-First-Wave-%E2%80%93-A-blueprint-for-commercial-scale-zero-emission-shipping-pilots.pdf" TargetMode="External"/><Relationship Id="rId22" Type="http://schemas.openxmlformats.org/officeDocument/2006/relationships/hyperlink" Target="https://unctad.org/rmt2022"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iea.org/reports/trucks-and-buses" TargetMode="External"/><Relationship Id="rId13" Type="http://schemas.openxmlformats.org/officeDocument/2006/relationships/printerSettings" Target="../printerSettings/printerSettings19.bin"/><Relationship Id="rId3" Type="http://schemas.openxmlformats.org/officeDocument/2006/relationships/hyperlink" Target="https://www.eia.gov/environment/emissions/co2_vol_mass.php" TargetMode="External"/><Relationship Id="rId7" Type="http://schemas.openxmlformats.org/officeDocument/2006/relationships/hyperlink" Target="https://www.iea.org/reports/trucks-and-buses" TargetMode="External"/><Relationship Id="rId12" Type="http://schemas.openxmlformats.org/officeDocument/2006/relationships/hyperlink" Target="https://missionpossiblepartnership.org/wp-content/uploads/2022/11/Making-Zero-Emissions-Trucking-Possible.pdf" TargetMode="External"/><Relationship Id="rId2" Type="http://schemas.openxmlformats.org/officeDocument/2006/relationships/hyperlink" Target="https://www.iea.org/reports/net-zero-by-2050" TargetMode="External"/><Relationship Id="rId1" Type="http://schemas.openxmlformats.org/officeDocument/2006/relationships/hyperlink" Target="https://www.iea.org/reports/trucks-and-buses" TargetMode="External"/><Relationship Id="rId6" Type="http://schemas.openxmlformats.org/officeDocument/2006/relationships/hyperlink" Target="https://www.iea.org/reports/trucks-and-buses" TargetMode="External"/><Relationship Id="rId11" Type="http://schemas.openxmlformats.org/officeDocument/2006/relationships/hyperlink" Target="https://missionpossiblepartnership.org/wp-content/uploads/2022/11/Making-Zero-Emissions-Trucking-Possible.pdf" TargetMode="External"/><Relationship Id="rId5" Type="http://schemas.openxmlformats.org/officeDocument/2006/relationships/hyperlink" Target="https://www.iea.org/reports/trucks-and-buses" TargetMode="External"/><Relationship Id="rId10" Type="http://schemas.openxmlformats.org/officeDocument/2006/relationships/hyperlink" Target="https://www.iea.org/reports/net-zero-by-2050" TargetMode="External"/><Relationship Id="rId4" Type="http://schemas.openxmlformats.org/officeDocument/2006/relationships/hyperlink" Target="https://www.iea.org/reports/electricity-sector" TargetMode="External"/><Relationship Id="rId9" Type="http://schemas.openxmlformats.org/officeDocument/2006/relationships/hyperlink" Target="https://www.iea.org/reports/trucks-and-bus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ea.org/search/charts?q=cement"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afdc.energy.gov/files/u/publication/alternative_fuel_price_report_october_2022.pdf" TargetMode="External"/><Relationship Id="rId13" Type="http://schemas.openxmlformats.org/officeDocument/2006/relationships/hyperlink" Target="https://iea.blob.core.windows.net/assets/a02a0c80-77b2-462e-a9d5-1099e0e572ce/IEA-The-Future-of-Hydrogen-Assumptions-Annex.pdf" TargetMode="External"/><Relationship Id="rId18"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 Id="rId3" Type="http://schemas.openxmlformats.org/officeDocument/2006/relationships/hyperlink" Target="https://theicct.org/battery-electric-trucks-emit-63-less-ghg-emissions-than-diesel/" TargetMode="External"/><Relationship Id="rId7" Type="http://schemas.openxmlformats.org/officeDocument/2006/relationships/hyperlink" Target="https://missionpossiblepartnership.org/wp-content/uploads/2022/11/Making-Zero-Emissions-Trucking-Possible.pdf" TargetMode="External"/><Relationship Id="rId12" Type="http://schemas.openxmlformats.org/officeDocument/2006/relationships/hyperlink" Target="https://missionpossiblepartnership.org/wp-content/uploads/2022/11/Making-Zero-Emissions-Trucking-Possible.pdf" TargetMode="External"/><Relationship Id="rId17" Type="http://schemas.openxmlformats.org/officeDocument/2006/relationships/hyperlink" Target="https://transportgeography.org/contents/chapter5/transportation-modes-modal-competition-modal-shift/freight-transport-revenue-ton-mile/" TargetMode="External"/><Relationship Id="rId2" Type="http://schemas.openxmlformats.org/officeDocument/2006/relationships/hyperlink" Target="https://www.iea.org/data-and-statistics/data-tools/etp-clean-energy-technology-guide?selectedSector=Road" TargetMode="External"/><Relationship Id="rId16" Type="http://schemas.openxmlformats.org/officeDocument/2006/relationships/hyperlink" Target="https://missionpossiblepartnership.org/wp-content/uploads/2022/11/Making-Zero-Emissions-Trucking-Possible.pdf" TargetMode="External"/><Relationship Id="rId20" Type="http://schemas.openxmlformats.org/officeDocument/2006/relationships/printerSettings" Target="../printerSettings/printerSettings20.bin"/><Relationship Id="rId1" Type="http://schemas.openxmlformats.org/officeDocument/2006/relationships/hyperlink" Target="https://www.oecd-nea.org/upload/docs/application/pdf/2020-07/7530-reducing-cost-nuclear-construction.pdf" TargetMode="External"/><Relationship Id="rId6" Type="http://schemas.openxmlformats.org/officeDocument/2006/relationships/hyperlink" Target="https://www.iea.org/reports/renewables-2022/transport-biofuels" TargetMode="External"/><Relationship Id="rId11" Type="http://schemas.openxmlformats.org/officeDocument/2006/relationships/hyperlink" Target="https://missionpossiblepartnership.org/wp-content/uploads/2022/11/Making-Zero-Emissions-Trucking-Possible.pdf" TargetMode="External"/><Relationship Id="rId5" Type="http://schemas.openxmlformats.org/officeDocument/2006/relationships/hyperlink" Target="https://www.drivetozero.fr/en/2044-retrofitted-trucks-the-fastest-way-to-decarbonise-the-transport-world/" TargetMode="External"/><Relationship Id="rId15" Type="http://schemas.openxmlformats.org/officeDocument/2006/relationships/hyperlink" Target="https://pages.stern.nyu.edu/~adamodar/New_Home_Page/datafile/wacc.html" TargetMode="External"/><Relationship Id="rId10" Type="http://schemas.openxmlformats.org/officeDocument/2006/relationships/hyperlink" Target="https://missionpossiblepartnership.org/wp-content/uploads/2022/11/Making-Zero-Emissions-Trucking-Possible.pdf" TargetMode="External"/><Relationship Id="rId19" Type="http://schemas.openxmlformats.org/officeDocument/2006/relationships/hyperlink" Target="https://iea.blob.core.windows.net/assets/2a240ed2-006b-486c-a994-9df5550dce86/NetZeroRoadmap_AGlobalPathwaytoKeepthe1.5CGoalinReach-2023Update.pdf" TargetMode="External"/><Relationship Id="rId4" Type="http://schemas.openxmlformats.org/officeDocument/2006/relationships/hyperlink" Target="https://www.biogasworld.com/news/renewable-natural-gas-heavy-duty-vehicles/" TargetMode="External"/><Relationship Id="rId9" Type="http://schemas.openxmlformats.org/officeDocument/2006/relationships/hyperlink" Target="https://missionpossiblepartnership.org/wp-content/uploads/2022/11/Making-Zero-Emissions-Trucking-Possible.pdf" TargetMode="External"/><Relationship Id="rId14" Type="http://schemas.openxmlformats.org/officeDocument/2006/relationships/hyperlink" Target="https://theicct.org/sites/default/files/publications/ICCT_EV_Charging_Cost_20190813.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iata.org/en/iata-repository/publications/economic-reports/global-outlook-for-air-transport---december-2022/" TargetMode="External"/><Relationship Id="rId7" Type="http://schemas.openxmlformats.org/officeDocument/2006/relationships/printerSettings" Target="../printerSettings/printerSettings21.bin"/><Relationship Id="rId2" Type="http://schemas.openxmlformats.org/officeDocument/2006/relationships/hyperlink" Target="https://www.icao.int/environmental-protection/LTAG/Documents/ICAO_LTAG_Report_AppendixM3.pdf" TargetMode="External"/><Relationship Id="rId1" Type="http://schemas.openxmlformats.org/officeDocument/2006/relationships/hyperlink" Target="https://www.iea.org/energy-system/transport/aviation" TargetMode="External"/><Relationship Id="rId6" Type="http://schemas.openxmlformats.org/officeDocument/2006/relationships/hyperlink" Target="https://aviationbenefits.org/media/167417/w2050_v2021_27sept_full.pdf" TargetMode="External"/><Relationship Id="rId5" Type="http://schemas.openxmlformats.org/officeDocument/2006/relationships/hyperlink" Target="https://www.iata.org/en/iata-repository/publications/economic-reports/global-outlook-for-air-transport---december-2022/" TargetMode="External"/><Relationship Id="rId4" Type="http://schemas.openxmlformats.org/officeDocument/2006/relationships/hyperlink" Target="https://www.statista.com/statistics/573231/aviation-industry-aircraft-fleet-by-type/"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missionpossiblepartnership.org/wp-content/uploads/2023/01/Making-Net-Zero-Aviation-possible.pdf" TargetMode="External"/><Relationship Id="rId3" Type="http://schemas.openxmlformats.org/officeDocument/2006/relationships/hyperlink" Target="https://missionpossiblepartnership.org/wp-content/uploads/2023/01/ATSInfographics.pdf" TargetMode="External"/><Relationship Id="rId7" Type="http://schemas.openxmlformats.org/officeDocument/2006/relationships/hyperlink" Target="https://www.iata.org/contentassets/8d19e716636a47c184e7221c77563c93/finance-net-zero-roadmap.pdf" TargetMode="External"/><Relationship Id="rId2" Type="http://schemas.openxmlformats.org/officeDocument/2006/relationships/hyperlink" Target="https://missionpossiblepartnership.org/wp-content/uploads/2023/01/Making-Net-Zero-Aviation-possible.pdf" TargetMode="External"/><Relationship Id="rId1" Type="http://schemas.openxmlformats.org/officeDocument/2006/relationships/hyperlink" Target="https://missionpossiblepartnership.org/wp-content/uploads/2023/01/Making-Net-Zero-Aviation-possible.pdf" TargetMode="External"/><Relationship Id="rId6" Type="http://schemas.openxmlformats.org/officeDocument/2006/relationships/hyperlink" Target="https://www.ieabioenergy.com/wp-content/uploads/2020/02/T41_CostReductionBiofuels-11_02_19-final.pdf" TargetMode="External"/><Relationship Id="rId11" Type="http://schemas.openxmlformats.org/officeDocument/2006/relationships/printerSettings" Target="../printerSettings/printerSettings22.bin"/><Relationship Id="rId5" Type="http://schemas.openxmlformats.org/officeDocument/2006/relationships/hyperlink" Target="https://www.ieabioenergy.com/wp-content/uploads/2020/02/T41_CostReductionBiofuels-11_02_19-final.pdf" TargetMode="External"/><Relationship Id="rId10" Type="http://schemas.openxmlformats.org/officeDocument/2006/relationships/hyperlink" Target="https://pages.stern.nyu.edu/~adamodar/New_Home_Page/datafile/wacc.html" TargetMode="External"/><Relationship Id="rId4" Type="http://schemas.openxmlformats.org/officeDocument/2006/relationships/hyperlink" Target="https://missionpossiblepartnership.org/wp-content/uploads/2023/01/ATSInfographics.pdf" TargetMode="External"/><Relationship Id="rId9" Type="http://schemas.openxmlformats.org/officeDocument/2006/relationships/hyperlink" Target="https://missionpossiblepartnership.org/wp-content/uploads/2023/01/Making-Net-Zero-Aviation-possible.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s://worldsteel.org/steel-topics/sustainability/sustainability-indicators/" TargetMode="External"/><Relationship Id="rId13" Type="http://schemas.openxmlformats.org/officeDocument/2006/relationships/hyperlink" Target="https://missionpossiblepartnership.org/wp-content/uploads/2022/09/Making-Net-Zero-Steel-possible.pdf" TargetMode="External"/><Relationship Id="rId3" Type="http://schemas.openxmlformats.org/officeDocument/2006/relationships/hyperlink" Target="https://missionpossiblepartnership.org/wp-content/uploads/2022/09/Making-Net-Zero-Steel-possible.pdf" TargetMode="External"/><Relationship Id="rId7" Type="http://schemas.openxmlformats.org/officeDocument/2006/relationships/hyperlink" Target="https://worldsteel.org/wp-content/uploads/Sustainability-Indicators-2022-report-1.pdf" TargetMode="External"/><Relationship Id="rId12" Type="http://schemas.openxmlformats.org/officeDocument/2006/relationships/hyperlink" Target="https://missionpossiblepartnership.org/wp-content/uploads/2022/09/Making-Net-Zero-Steel-possible.pdf" TargetMode="External"/><Relationship Id="rId17" Type="http://schemas.openxmlformats.org/officeDocument/2006/relationships/printerSettings" Target="../printerSettings/printerSettings3.bin"/><Relationship Id="rId2" Type="http://schemas.openxmlformats.org/officeDocument/2006/relationships/hyperlink" Target="https://www.eia.gov/environment/emissions/co2_vol_mass.php" TargetMode="External"/><Relationship Id="rId16" Type="http://schemas.openxmlformats.org/officeDocument/2006/relationships/hyperlink" Target="https://dash-mpp.plotly.host/mpp-steel-net-zero-explorer/" TargetMode="External"/><Relationship Id="rId1" Type="http://schemas.openxmlformats.org/officeDocument/2006/relationships/hyperlink" Target="https://worldsteel.org/wp-content/uploads/World-Steel-in-Figures-2022-1.pdf" TargetMode="External"/><Relationship Id="rId6" Type="http://schemas.openxmlformats.org/officeDocument/2006/relationships/hyperlink" Target="https://gmk.center/en/news/world-scrap-consumption-in-2022-decreased-by-7-y-y/" TargetMode="External"/><Relationship Id="rId11" Type="http://schemas.openxmlformats.org/officeDocument/2006/relationships/hyperlink" Target="https://www.iea.org/data-and-statistics/data-product/ccus-projects-database" TargetMode="External"/><Relationship Id="rId5" Type="http://schemas.openxmlformats.org/officeDocument/2006/relationships/hyperlink" Target="https://www.iea.org/energy-system/industry/steel" TargetMode="External"/><Relationship Id="rId15" Type="http://schemas.openxmlformats.org/officeDocument/2006/relationships/hyperlink" Target="https://dash-mpp.plotly.host/mpp-steel-net-zero-explorer/" TargetMode="External"/><Relationship Id="rId10" Type="http://schemas.openxmlformats.org/officeDocument/2006/relationships/hyperlink" Target="https://worldsteel.org/steel-topics/sustainability/sustainability-indicators/" TargetMode="External"/><Relationship Id="rId4" Type="http://schemas.openxmlformats.org/officeDocument/2006/relationships/hyperlink" Target="https://www.iea.org/reports/iron-and-steel" TargetMode="External"/><Relationship Id="rId9" Type="http://schemas.openxmlformats.org/officeDocument/2006/relationships/hyperlink" Target="https://www.iea.org/reports/electricity-sector" TargetMode="External"/><Relationship Id="rId14" Type="http://schemas.openxmlformats.org/officeDocument/2006/relationships/hyperlink" Target="https://worldsteel.org/steel-topics/statistics/annual-production-steel-data/?ind=P1_crude_steel_total_pub/CHN/IN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issionpossiblepartnership.org/wp-content/uploads/2022/09/Making-Net-Zero-Steel-possible.pdf" TargetMode="External"/><Relationship Id="rId13" Type="http://schemas.openxmlformats.org/officeDocument/2006/relationships/hyperlink" Target="https://iea.blob.core.windows.net/assets/2a240ed2-006b-486c-a994-9df5550dce86/NetZeroRoadmap_AGlobalPathwaytoKeepthe1.5CGoalinReach-2023Update.pdf" TargetMode="External"/><Relationship Id="rId18" Type="http://schemas.openxmlformats.org/officeDocument/2006/relationships/hyperlink" Target="https://dash-mpp.plotly.host/mpp-steel-net-zero-explorer/" TargetMode="External"/><Relationship Id="rId3" Type="http://schemas.openxmlformats.org/officeDocument/2006/relationships/hyperlink" Target="https://pages.stern.nyu.edu/~adamodar/New_Home_Page/datafile/wacc.html" TargetMode="External"/><Relationship Id="rId21" Type="http://schemas.openxmlformats.org/officeDocument/2006/relationships/printerSettings" Target="../printerSettings/printerSettings4.bin"/><Relationship Id="rId7" Type="http://schemas.openxmlformats.org/officeDocument/2006/relationships/hyperlink" Target="https://missionpossiblepartnership.org/wp-content/uploads/2022/09/Making-Net-Zero-Steel-possible.pdf" TargetMode="External"/><Relationship Id="rId12" Type="http://schemas.openxmlformats.org/officeDocument/2006/relationships/hyperlink" Target="https://missionpossiblepartnership.org/wp-content/uploads/2022/09/Making-Net-Zero-Steel-possible.pdf" TargetMode="External"/><Relationship Id="rId17" Type="http://schemas.openxmlformats.org/officeDocument/2006/relationships/hyperlink" Target="https://www.energy-transitions.org/publications/steeling-demand/" TargetMode="External"/><Relationship Id="rId2"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 Id="rId16" Type="http://schemas.openxmlformats.org/officeDocument/2006/relationships/hyperlink" Target="https://www.energy-transitions.org/publications/steeling-demand/" TargetMode="External"/><Relationship Id="rId20" Type="http://schemas.openxmlformats.org/officeDocument/2006/relationships/hyperlink" Target="https://missionpossiblepartnership.org/wp-content/uploads/2022/09/Making-Net-Zero-Steel-possible.pdf" TargetMode="External"/><Relationship Id="rId1" Type="http://schemas.openxmlformats.org/officeDocument/2006/relationships/hyperlink" Target="https://www.investing.com/commodities/us-steel-coil-futures-historical-data" TargetMode="External"/><Relationship Id="rId6" Type="http://schemas.openxmlformats.org/officeDocument/2006/relationships/hyperlink" Target="https://www.oecd-nea.org/upload/docs/application/pdf/2020-07/7530-reducing-cost-nuclear-construction.pdf" TargetMode="External"/><Relationship Id="rId11" Type="http://schemas.openxmlformats.org/officeDocument/2006/relationships/hyperlink" Target="https://dash-mpp.plotly.host/mpp-steel-net-zero-explorer/" TargetMode="External"/><Relationship Id="rId5" Type="http://schemas.openxmlformats.org/officeDocument/2006/relationships/hyperlink" Target="https://missionpossiblepartnership.org/wp-content/uploads/2021/10/MPP-Steel-Transition-Strategy-Oct-2021.pdf" TargetMode="External"/><Relationship Id="rId15" Type="http://schemas.openxmlformats.org/officeDocument/2006/relationships/hyperlink" Target="https://dash-mpp.plotly.host/mpp-steel-net-zero-explorer/" TargetMode="External"/><Relationship Id="rId10" Type="http://schemas.openxmlformats.org/officeDocument/2006/relationships/hyperlink" Target="https://dash-mpp.plotly.host/mpp-steel-net-zero-explorer/" TargetMode="External"/><Relationship Id="rId19" Type="http://schemas.openxmlformats.org/officeDocument/2006/relationships/hyperlink" Target="https://dash-mpp.plotly.host/mpp-steel-net-zero-explorer/" TargetMode="External"/><Relationship Id="rId4" Type="http://schemas.openxmlformats.org/officeDocument/2006/relationships/hyperlink" Target="https://www.energy-transitions.org/publications/steeling-demand/" TargetMode="External"/><Relationship Id="rId9" Type="http://schemas.openxmlformats.org/officeDocument/2006/relationships/hyperlink" Target="https://missionpossiblepartnership.org/wp-content/uploads/2022/09/Making-Net-Zero-Steel-possible.pdf" TargetMode="External"/><Relationship Id="rId14" Type="http://schemas.openxmlformats.org/officeDocument/2006/relationships/hyperlink" Target="https://dash-mpp.plotly.host/mpp-steel-net-zero-explor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ccassociation.org/concretefuture/wp-content/uploads/2021/10/GCCA-Concrete-Future-Roadmap-Document-AW.pdf" TargetMode="External"/><Relationship Id="rId13" Type="http://schemas.openxmlformats.org/officeDocument/2006/relationships/hyperlink" Target="https://iea.blob.core.windows.net/assets/deebef5d-0c34-4539-9d0c-10b13d840027/NetZeroby2050-ARoadmapfortheGlobalEnergySector_CORR.pdf" TargetMode="External"/><Relationship Id="rId18" Type="http://schemas.openxmlformats.org/officeDocument/2006/relationships/hyperlink" Target="https://iea.blob.core.windows.net/assets/2a240ed2-006b-486c-a994-9df5550dce86/NetZeroRoadmap_AGlobalPathwaytoKeepthe1.5CGoalinReach-2023Update.pdf" TargetMode="External"/><Relationship Id="rId3" Type="http://schemas.openxmlformats.org/officeDocument/2006/relationships/hyperlink" Target="https://www.eia.gov/environment/emissions/co2_vol_mass.php" TargetMode="External"/><Relationship Id="rId21" Type="http://schemas.openxmlformats.org/officeDocument/2006/relationships/hyperlink" Target="https://iea.blob.core.windows.net/assets/2a240ed2-006b-486c-a994-9df5550dce86/NetZeroRoadmap_AGlobalPathwaytoKeepthe1.5CGoalinReach-2023Update.pdf" TargetMode="External"/><Relationship Id="rId7" Type="http://schemas.openxmlformats.org/officeDocument/2006/relationships/hyperlink" Target="https://gccassociation.org/concretefuture/wp-content/uploads/2022/10/GCCA-Concrete-Future-Roadmap-Document-AW-2022.pdf" TargetMode="External"/><Relationship Id="rId12" Type="http://schemas.openxmlformats.org/officeDocument/2006/relationships/hyperlink" Target="https://iea.blob.core.windows.net/assets/deebef5d-0c34-4539-9d0c-10b13d840027/NetZeroby2050-ARoadmapfortheGlobalEnergySector_CORR.pdf" TargetMode="External"/><Relationship Id="rId17" Type="http://schemas.openxmlformats.org/officeDocument/2006/relationships/hyperlink" Target="https://iea.blob.core.windows.net/assets/2a240ed2-006b-486c-a994-9df5550dce86/NetZeroRoadmap_AGlobalPathwaytoKeepthe1.5CGoalinReach-2023Update.pdf" TargetMode="External"/><Relationship Id="rId2" Type="http://schemas.openxmlformats.org/officeDocument/2006/relationships/hyperlink" Target="https://www.iea.org/reports/cement" TargetMode="External"/><Relationship Id="rId16" Type="http://schemas.openxmlformats.org/officeDocument/2006/relationships/hyperlink" Target="https://pubs.usgs.gov/periodicals/mcs2023/mcs2023-cement.pdf" TargetMode="External"/><Relationship Id="rId20" Type="http://schemas.openxmlformats.org/officeDocument/2006/relationships/hyperlink" Target="https://iea.blob.core.windows.net/assets/2a240ed2-006b-486c-a994-9df5550dce86/NetZeroRoadmap_AGlobalPathwaytoKeepthe1.5CGoalinReach-2023Update.pdf" TargetMode="External"/><Relationship Id="rId1" Type="http://schemas.openxmlformats.org/officeDocument/2006/relationships/hyperlink" Target="https://www.iea.org/reports/cement" TargetMode="External"/><Relationship Id="rId6" Type="http://schemas.openxmlformats.org/officeDocument/2006/relationships/hyperlink" Target="https://www.iea.org/data-and-statistics/charts/global-thermal-energy-intensity-and-fuel-consumption-of-clinker-production-in-the-net-zero-scenario-2015-2030" TargetMode="External"/><Relationship Id="rId11" Type="http://schemas.openxmlformats.org/officeDocument/2006/relationships/hyperlink" Target="https://www.iea.org/reports/cement" TargetMode="External"/><Relationship Id="rId24" Type="http://schemas.openxmlformats.org/officeDocument/2006/relationships/printerSettings" Target="../printerSettings/printerSettings5.bin"/><Relationship Id="rId5" Type="http://schemas.openxmlformats.org/officeDocument/2006/relationships/hyperlink" Target="https://iea.blob.core.windows.net/assets/deebef5d-0c34-4539-9d0c-10b13d840027/NetZeroby2050-ARoadmapfortheGlobalEnergySector_CORR.pdf" TargetMode="External"/><Relationship Id="rId15" Type="http://schemas.openxmlformats.org/officeDocument/2006/relationships/hyperlink" Target="https://www.iea.org/reports/cement" TargetMode="External"/><Relationship Id="rId23" Type="http://schemas.openxmlformats.org/officeDocument/2006/relationships/hyperlink" Target="https://iea.blob.core.windows.net/assets/2a240ed2-006b-486c-a994-9df5550dce86/NetZeroRoadmap_AGlobalPathwaytoKeepthe1.5CGoalinReach-2023Update.pdf" TargetMode="External"/><Relationship Id="rId10" Type="http://schemas.openxmlformats.org/officeDocument/2006/relationships/hyperlink" Target="https://gccassociation.org/concretefuture/wp-content/uploads/2022/10/GCCA-Concrete-Future-Roadmap-Document-AW-2022.pdf" TargetMode="External"/><Relationship Id="rId19" Type="http://schemas.openxmlformats.org/officeDocument/2006/relationships/hyperlink" Target="https://iea.blob.core.windows.net/assets/2a240ed2-006b-486c-a994-9df5550dce86/NetZeroRoadmap_AGlobalPathwaytoKeepthe1.5CGoalinReach-2023Update.pdf" TargetMode="External"/><Relationship Id="rId4" Type="http://schemas.openxmlformats.org/officeDocument/2006/relationships/hyperlink" Target="https://www.iea.org/data-and-statistics/charts/global-thermal-energy-intensity-and-fuel-consumption-of-clinker-production-in-the-net-zero-scenario-2015-2030" TargetMode="External"/><Relationship Id="rId9" Type="http://schemas.openxmlformats.org/officeDocument/2006/relationships/hyperlink" Target="https://www.iea.org/reports/cement" TargetMode="External"/><Relationship Id="rId14" Type="http://schemas.openxmlformats.org/officeDocument/2006/relationships/hyperlink" Target="https://pubs.usgs.gov/periodicals/mcs2023/mcs2023-cement.pdf" TargetMode="External"/><Relationship Id="rId22" Type="http://schemas.openxmlformats.org/officeDocument/2006/relationships/hyperlink" Target="https://iea.blob.core.windows.net/assets/2a240ed2-006b-486c-a994-9df5550dce86/NetZeroRoadmap_AGlobalPathwaytoKeepthe1.5CGoalinReach-2023Updat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gccassociation.org/concretefuture/wp-content/uploads/2022/10/GCCA-Concrete-Future-Roadmap-Document-AW-2022.pdf" TargetMode="External"/><Relationship Id="rId13" Type="http://schemas.openxmlformats.org/officeDocument/2006/relationships/hyperlink" Target="https://ecra-online.org/research/technology-papers/" TargetMode="External"/><Relationship Id="rId3"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7" Type="http://schemas.openxmlformats.org/officeDocument/2006/relationships/hyperlink" Target="https://gccassociation.org/concretefuture/wp-content/uploads/2022/10/GCCA-Concrete-Future-Roadmap-Document-AW-2022.pdf" TargetMode="External"/><Relationship Id="rId12" Type="http://schemas.openxmlformats.org/officeDocument/2006/relationships/hyperlink" Target="https://ecra-online.org/research/technology-papers/" TargetMode="External"/><Relationship Id="rId2"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16" Type="http://schemas.openxmlformats.org/officeDocument/2006/relationships/printerSettings" Target="../printerSettings/printerSettings6.bin"/><Relationship Id="rId1" Type="http://schemas.openxmlformats.org/officeDocument/2006/relationships/hyperlink" Target="https://co2re.co/" TargetMode="External"/><Relationship Id="rId6" Type="http://schemas.openxmlformats.org/officeDocument/2006/relationships/hyperlink" Target="https://medium.com/@heirloomcarbon/electric-kilns-how-an-old-technology-is-key-to-our-climate-future-1690bd9e5cfc" TargetMode="External"/><Relationship Id="rId11" Type="http://schemas.openxmlformats.org/officeDocument/2006/relationships/hyperlink" Target="https://gccassociation.org/concretefuture/wp-content/uploads/2022/10/GCCA-Concrete-Future-Roadmap-Document-AW-2022.pdf" TargetMode="External"/><Relationship Id="rId5" Type="http://schemas.openxmlformats.org/officeDocument/2006/relationships/hyperlink" Target="https://www.oecd-nea.org/upload/docs/application/pdf/2020-07/7530-reducing-cost-nuclear-construction.pdf" TargetMode="External"/><Relationship Id="rId15" Type="http://schemas.openxmlformats.org/officeDocument/2006/relationships/hyperlink" Target="https://iea.blob.core.windows.net/assets/2a240ed2-006b-486c-a994-9df5550dce86/NetZeroRoadmap_AGlobalPathwaytoKeepthe1.5CGoalinReach-2023Update.pdf" TargetMode="External"/><Relationship Id="rId10" Type="http://schemas.openxmlformats.org/officeDocument/2006/relationships/hyperlink" Target="https://www.iea.org/reports/world-energy-outlook-2022" TargetMode="External"/><Relationship Id="rId4" Type="http://schemas.openxmlformats.org/officeDocument/2006/relationships/hyperlink" Target="https://www.stern.nyu.edu/~adamodar/New_Home_Page/data.html" TargetMode="External"/><Relationship Id="rId9" Type="http://schemas.openxmlformats.org/officeDocument/2006/relationships/hyperlink" Target="https://www.fortunebusinessinsights.com/industry-reports/cement-market-101825" TargetMode="External"/><Relationship Id="rId14"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co2re.co/FacilityData" TargetMode="External"/><Relationship Id="rId13" Type="http://schemas.openxmlformats.org/officeDocument/2006/relationships/hyperlink" Target="https://international-aluminium.org/statistics/primary-aluminium-smelting-power-consumption/" TargetMode="External"/><Relationship Id="rId18" Type="http://schemas.openxmlformats.org/officeDocument/2006/relationships/hyperlink" Target="https://missionpossiblepartnership.org/wp-content/uploads/2023/04/Making-1.5-Aligned-Aluminium-possible.pdf" TargetMode="External"/><Relationship Id="rId3" Type="http://schemas.openxmlformats.org/officeDocument/2006/relationships/hyperlink" Target="https://aluminium-stewardship.org/wp-content/uploads/2021/10/20211012-ASI-GHG-Validation-Report_v2.0_GENERIC.pdf" TargetMode="External"/><Relationship Id="rId21" Type="http://schemas.openxmlformats.org/officeDocument/2006/relationships/printerSettings" Target="../printerSettings/printerSettings7.bin"/><Relationship Id="rId7" Type="http://schemas.openxmlformats.org/officeDocument/2006/relationships/hyperlink" Target="https://international-aluminium.org/statistics/greenhouse-gas-emissions-intensity-primary-aluminium/" TargetMode="External"/><Relationship Id="rId12" Type="http://schemas.openxmlformats.org/officeDocument/2006/relationships/hyperlink" Target="https://international-aluminium.org/statistics/primary-aluminium-production/" TargetMode="External"/><Relationship Id="rId17" Type="http://schemas.openxmlformats.org/officeDocument/2006/relationships/hyperlink" Target="https://missionpossiblepartnership.org/wp-content/uploads/2023/04/Making-1.5-Aligned-Aluminium-possible.pdf" TargetMode="External"/><Relationship Id="rId2" Type="http://schemas.openxmlformats.org/officeDocument/2006/relationships/hyperlink" Target="https://aluminium-stewardship.org/wp-content/uploads/2021/10/20211012-ASI-GHG-Validation-Report_v2.0_GENERIC.pdf" TargetMode="External"/><Relationship Id="rId16" Type="http://schemas.openxmlformats.org/officeDocument/2006/relationships/hyperlink" Target="https://missionpossiblepartnership.org/wp-content/uploads/2023/04/Making-1.5-Aligned-Aluminium-possible.pdf" TargetMode="External"/><Relationship Id="rId20" Type="http://schemas.openxmlformats.org/officeDocument/2006/relationships/hyperlink" Target="https://international-aluminium.org/statistics/primary-aluminium-smelting-power-consumption/" TargetMode="External"/><Relationship Id="rId1" Type="http://schemas.openxmlformats.org/officeDocument/2006/relationships/hyperlink" Target="https://international-aluminium.org/statistics/metallurgical-alumina-refining-energy-intensity/" TargetMode="External"/><Relationship Id="rId6" Type="http://schemas.openxmlformats.org/officeDocument/2006/relationships/hyperlink" Target="https://international-aluminium.org/statistics/greenhouse-gas-emissions-aluminium-sector/" TargetMode="External"/><Relationship Id="rId11" Type="http://schemas.openxmlformats.org/officeDocument/2006/relationships/hyperlink" Target="https://missionpossiblepartnership.org/wp-content/uploads/2023/04/Making-1.5-Aligned-Aluminium-possible.pdf" TargetMode="External"/><Relationship Id="rId5" Type="http://schemas.openxmlformats.org/officeDocument/2006/relationships/hyperlink" Target="https://international-aluminium.org/statistics/greenhouse-gas-emissions-aluminium-sector/" TargetMode="External"/><Relationship Id="rId15" Type="http://schemas.openxmlformats.org/officeDocument/2006/relationships/hyperlink" Target="https://missionpossiblepartnership.org/wp-content/uploads/2023/04/Making-1.5-Aligned-Aluminium-possible.pdf" TargetMode="External"/><Relationship Id="rId10" Type="http://schemas.openxmlformats.org/officeDocument/2006/relationships/hyperlink" Target="https://missionpossiblepartnership.org/wp-content/uploads/2023/04/Making-1.5-Aligned-Aluminium-possible.pdf" TargetMode="External"/><Relationship Id="rId19" Type="http://schemas.openxmlformats.org/officeDocument/2006/relationships/hyperlink" Target="https://international-aluminium.org/statistics/primary-aluminium-smelting-power-consumption/" TargetMode="External"/><Relationship Id="rId4" Type="http://schemas.openxmlformats.org/officeDocument/2006/relationships/hyperlink" Target="https://alucycle.international-aluminium.org/public-access/" TargetMode="External"/><Relationship Id="rId9" Type="http://schemas.openxmlformats.org/officeDocument/2006/relationships/hyperlink" Target="https://missionpossiblepartnership.org/wp-content/uploads/2023/04/Making-1.5-Aligned-Aluminium-possible.pdf" TargetMode="External"/><Relationship Id="rId14" Type="http://schemas.openxmlformats.org/officeDocument/2006/relationships/hyperlink" Target="https://missionpossiblepartnership.org/wp-content/uploads/2023/04/Making-1.5-Aligned-Aluminium-possible.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issionpossiblepartnership.org/wp-content/uploads/2023/04/Making-1.5-Aligned-Aluminium-possible.pdf" TargetMode="External"/><Relationship Id="rId13" Type="http://schemas.openxmlformats.org/officeDocument/2006/relationships/hyperlink" Target="https://missionpossiblepartnership.org/wp-content/uploads/2023/04/Making-1.5-Aligned-Aluminium-possible.pdf" TargetMode="External"/><Relationship Id="rId18" Type="http://schemas.openxmlformats.org/officeDocument/2006/relationships/hyperlink" Target="https://missionpossiblepartnership.org/wp-content/uploads/2023/04/Making-1.5-Aligned-Aluminium-possible.pdf" TargetMode="External"/><Relationship Id="rId26" Type="http://schemas.openxmlformats.org/officeDocument/2006/relationships/hyperlink" Target="https://missionpossiblepartnership.org/wp-content/uploads/2023/04/Making-1.5-Aligned-Aluminium-possible.pdf" TargetMode="External"/><Relationship Id="rId3" Type="http://schemas.openxmlformats.org/officeDocument/2006/relationships/hyperlink" Target="https://everycancounts.eu/can-recycling/" TargetMode="External"/><Relationship Id="rId21" Type="http://schemas.openxmlformats.org/officeDocument/2006/relationships/hyperlink" Target="https://missionpossiblepartnership.org/wp-content/uploads/2023/03/MPP-Aluminium-Technical-Appendix.pdf" TargetMode="External"/><Relationship Id="rId7" Type="http://schemas.openxmlformats.org/officeDocument/2006/relationships/hyperlink" Target="https://www.oecd-nea.org/upload/docs/application/pdf/2020-07/7530-reducing-cost-nuclear-construction.pdf" TargetMode="External"/><Relationship Id="rId12" Type="http://schemas.openxmlformats.org/officeDocument/2006/relationships/hyperlink" Target="https://international-aluminium.org/statistics/primary-aluminium-production/" TargetMode="External"/><Relationship Id="rId17" Type="http://schemas.openxmlformats.org/officeDocument/2006/relationships/hyperlink" Target="https://missionpossiblepartnership.org/wp-content/uploads/2023/04/Making-1.5-Aligned-Aluminium-possible.pdf" TargetMode="External"/><Relationship Id="rId25" Type="http://schemas.openxmlformats.org/officeDocument/2006/relationships/hyperlink" Target="https://iea.blob.core.windows.net/assets/deebef5d-0c34-4539-9d0c-10b13d840027/NetZeroby2050-ARoadmapfortheGlobalEnergySector_CORR.pdf" TargetMode="External"/><Relationship Id="rId2" Type="http://schemas.openxmlformats.org/officeDocument/2006/relationships/hyperlink" Target="https://aluminium-stewardship.org/wp-content/uploads/2021/10/20211012-ASI-GHG-Validation-Report_v2.0_GENERIC.pdf" TargetMode="External"/><Relationship Id="rId16" Type="http://schemas.openxmlformats.org/officeDocument/2006/relationships/hyperlink" Target="https://missionpossiblepartnership.org/wp-content/uploads/2023/04/Making-1.5-Aligned-Aluminium-possible.pdf" TargetMode="External"/><Relationship Id="rId20" Type="http://schemas.openxmlformats.org/officeDocument/2006/relationships/hyperlink" Target="https://international-aluminium.org/statistics/greenhouse-gas-emissions-intensity-primary-aluminium/" TargetMode="External"/><Relationship Id="rId29" Type="http://schemas.openxmlformats.org/officeDocument/2006/relationships/printerSettings" Target="../printerSettings/printerSettings8.bin"/><Relationship Id="rId1" Type="http://schemas.openxmlformats.org/officeDocument/2006/relationships/hyperlink" Target="https://international-aluminium.org/statistics/primary-aluminium-smelting-energy-intensity/" TargetMode="External"/><Relationship Id="rId6" Type="http://schemas.openxmlformats.org/officeDocument/2006/relationships/hyperlink" Target="https://missionpossiblepartnership.org/wp-content/uploads/2021/12/Closing-the-Gap-for-Aluminium-Emissions.pdf" TargetMode="External"/><Relationship Id="rId11" Type="http://schemas.openxmlformats.org/officeDocument/2006/relationships/hyperlink" Target="https://missionpossiblepartnership.org/wp-content/uploads/2023/04/Making-1.5-Aligned-Aluminium-possible.pdf" TargetMode="External"/><Relationship Id="rId24" Type="http://schemas.openxmlformats.org/officeDocument/2006/relationships/hyperlink" Target="https://missionpossiblepartnership.org/wp-content/uploads/2023/04/Making-1.5-Aligned-Aluminium-possible.pdf" TargetMode="External"/><Relationship Id="rId5" Type="http://schemas.openxmlformats.org/officeDocument/2006/relationships/hyperlink" Target="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TargetMode="External"/><Relationship Id="rId15" Type="http://schemas.openxmlformats.org/officeDocument/2006/relationships/hyperlink" Target="https://missionpossiblepartnership.org/wp-content/uploads/2023/03/MPP-Aluminium-Technical-Appendix.pdf" TargetMode="External"/><Relationship Id="rId23" Type="http://schemas.openxmlformats.org/officeDocument/2006/relationships/hyperlink" Target="https://international-aluminium.org/statistics/primary-aluminium-smelting-power-consumption/" TargetMode="External"/><Relationship Id="rId28" Type="http://schemas.openxmlformats.org/officeDocument/2006/relationships/hyperlink" Target="https://iea.blob.core.windows.net/assets/2a240ed2-006b-486c-a994-9df5550dce86/NetZeroRoadmap_AGlobalPathwaytoKeepthe1.5CGoalinReach-2023Update.pdf" TargetMode="External"/><Relationship Id="rId10" Type="http://schemas.openxmlformats.org/officeDocument/2006/relationships/hyperlink" Target="https://www.iea.org/articles/etp-clean-energy-technology-guide" TargetMode="External"/><Relationship Id="rId19" Type="http://schemas.openxmlformats.org/officeDocument/2006/relationships/hyperlink" Target="https://international-aluminium.org/statistics/metallurgical-alumina-refining-fuel-consumption/" TargetMode="External"/><Relationship Id="rId4" Type="http://schemas.openxmlformats.org/officeDocument/2006/relationships/hyperlink" Target="https://www.stern.nyu.edu/~adamodar/New_Home_Page/data.html" TargetMode="External"/><Relationship Id="rId9" Type="http://schemas.openxmlformats.org/officeDocument/2006/relationships/hyperlink" Target="https://missionpossiblepartnership.org/wp-content/uploads/2023/04/Making-1.5-Aligned-Aluminium-possible.pdf" TargetMode="External"/><Relationship Id="rId14" Type="http://schemas.openxmlformats.org/officeDocument/2006/relationships/hyperlink" Target="https://missionpossiblepartnership.org/wp-content/uploads/2023/04/Making-1.5-Aligned-Aluminium-possible.pdf" TargetMode="External"/><Relationship Id="rId22" Type="http://schemas.openxmlformats.org/officeDocument/2006/relationships/hyperlink" Target="https://www.amazon.com/Pepsi-Cola-12-Pack-cans-Packaging/dp/B000R9AK5O/ref=sr_1_7_f3_0o_fs?crid=31UF4XCPJGCL7&amp;keywords=pepsi+cans+12+pack&amp;qid=1681879802&amp;sprefix=pepsi+can%2Caps%2C441&amp;sr=8-7" TargetMode="External"/><Relationship Id="rId27" Type="http://schemas.openxmlformats.org/officeDocument/2006/relationships/hyperlink" Target="https://mc-cd8320d4-36a1-40ac-83cc-3389-cdn-endpoint.azureedge.net/-/media/Files/IRENA/Agency/Publication/2023/Aug/IRENA_Renewable_power_generation_costs_in_2022.pdf?rev=3b8966ac0f0544e89d7110d90c9656a0"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international-aluminium.org/statistics/greenhouse-gas-emissions-aluminium-sector/" TargetMode="External"/><Relationship Id="rId3" Type="http://schemas.openxmlformats.org/officeDocument/2006/relationships/hyperlink" Target="https://aluminium-stewardship.org/wp-content/uploads/2021/10/20211012-ASI-GHG-Validation-Report_v2.0_GENERIC.pdf" TargetMode="External"/><Relationship Id="rId7" Type="http://schemas.openxmlformats.org/officeDocument/2006/relationships/hyperlink" Target="https://alucycle.international-aluminium.org/public-access/" TargetMode="External"/><Relationship Id="rId12" Type="http://schemas.openxmlformats.org/officeDocument/2006/relationships/printerSettings" Target="../printerSettings/printerSettings9.bin"/><Relationship Id="rId2" Type="http://schemas.openxmlformats.org/officeDocument/2006/relationships/hyperlink" Target="https://aluminium-stewardship.org/wp-content/uploads/2021/10/20211012-ASI-GHG-Validation-Report_v2.0_GENERIC.pdf" TargetMode="External"/><Relationship Id="rId1" Type="http://schemas.openxmlformats.org/officeDocument/2006/relationships/hyperlink" Target="https://international-aluminium.org/statistics/metallurgical-alumina-refining-energy-intensity/" TargetMode="External"/><Relationship Id="rId6" Type="http://schemas.openxmlformats.org/officeDocument/2006/relationships/hyperlink" Target="https://www.eia.gov/environment/emissions/co2_vol_mass.php" TargetMode="External"/><Relationship Id="rId11" Type="http://schemas.openxmlformats.org/officeDocument/2006/relationships/hyperlink" Target="https://international-aluminium.org/statistics/primary-aluminium-smelting-power-consumption/" TargetMode="External"/><Relationship Id="rId5" Type="http://schemas.openxmlformats.org/officeDocument/2006/relationships/hyperlink" Target="https://aluminium-stewardship.org/wp-content/uploads/2021/10/20211012-ASI-GHG-Validation-Report_v2.0_GENERIC.pdf" TargetMode="External"/><Relationship Id="rId10" Type="http://schemas.openxmlformats.org/officeDocument/2006/relationships/hyperlink" Target="https://international-aluminium.org/resource/beyond-2-degrees-the-outlook-for-the-aluminium-sector-factsheet/" TargetMode="External"/><Relationship Id="rId4" Type="http://schemas.openxmlformats.org/officeDocument/2006/relationships/hyperlink" Target="https://international-aluminium.org/resource/beyond-2-degrees-the-outlook-for-the-aluminium-sector-factsheet/" TargetMode="External"/><Relationship Id="rId9" Type="http://schemas.openxmlformats.org/officeDocument/2006/relationships/hyperlink" Target="https://international-aluminium.org/statistics/greenhouse-gas-emissions-aluminium-sec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9EB2-2576-49FF-9007-4A575B3077B8}">
  <sheetPr codeName="Sheet1">
    <tabColor theme="0" tint="-0.499984740745262"/>
  </sheetPr>
  <dimension ref="A1:S76"/>
  <sheetViews>
    <sheetView showGridLines="0" topLeftCell="B1" zoomScale="60" zoomScaleNormal="60" workbookViewId="0">
      <selection activeCell="L17" sqref="L17"/>
    </sheetView>
  </sheetViews>
  <sheetFormatPr baseColWidth="10" defaultColWidth="0" defaultRowHeight="14.5" customHeight="1" zeroHeight="1"/>
  <cols>
    <col min="1" max="1" width="8.83203125" customWidth="1"/>
    <col min="2" max="2" width="26.1640625" customWidth="1"/>
    <col min="3" max="11" width="8.83203125" customWidth="1"/>
    <col min="12" max="12" width="18.5" customWidth="1"/>
    <col min="13" max="16" width="8.83203125" customWidth="1"/>
    <col min="17" max="17" width="12.1640625" customWidth="1"/>
    <col min="18" max="18" width="10.5" customWidth="1"/>
    <col min="19" max="19" width="8.83203125" customWidth="1"/>
    <col min="20" max="16384" width="8.83203125" hidden="1"/>
  </cols>
  <sheetData>
    <row r="1" spans="2:13" s="1" customFormat="1" ht="15">
      <c r="E1" s="2"/>
    </row>
    <row r="2" spans="2:13" s="1" customFormat="1" ht="14.25" customHeight="1">
      <c r="B2" s="19" t="s">
        <v>0</v>
      </c>
      <c r="E2" s="2"/>
    </row>
    <row r="3" spans="2:13" s="1" customFormat="1" ht="14.25" customHeight="1">
      <c r="B3" s="19" t="s">
        <v>1</v>
      </c>
      <c r="C3" s="3"/>
      <c r="E3" s="2"/>
    </row>
    <row r="4" spans="2:13" s="4" customFormat="1" ht="14.25" customHeight="1" thickBot="1">
      <c r="E4" s="5"/>
    </row>
    <row r="5" spans="2:13" ht="15"/>
    <row r="6" spans="2:13" ht="15">
      <c r="B6" s="6" t="s">
        <v>2</v>
      </c>
      <c r="L6" s="7" t="s">
        <v>3</v>
      </c>
    </row>
    <row r="7" spans="2:13" ht="27.75" customHeight="1"/>
    <row r="8" spans="2:13" ht="15">
      <c r="L8" s="83">
        <v>95</v>
      </c>
      <c r="M8" t="s">
        <v>4</v>
      </c>
    </row>
    <row r="9" spans="2:13" ht="15">
      <c r="L9">
        <v>95</v>
      </c>
      <c r="M9" t="s">
        <v>5</v>
      </c>
    </row>
    <row r="10" spans="2:13" ht="15">
      <c r="L10" s="94">
        <v>95</v>
      </c>
      <c r="M10" t="s">
        <v>6</v>
      </c>
    </row>
    <row r="11" spans="2:13" ht="15"/>
    <row r="12" spans="2:13" ht="15"/>
    <row r="13" spans="2:13" ht="15"/>
    <row r="14" spans="2:13" ht="15">
      <c r="L14" s="8" t="s">
        <v>1530</v>
      </c>
    </row>
    <row r="15" spans="2:13" ht="15">
      <c r="L15" s="7"/>
    </row>
    <row r="16" spans="2:13" ht="15"/>
    <row r="17" ht="15"/>
    <row r="18" ht="15"/>
    <row r="19" ht="15"/>
    <row r="20" ht="15"/>
    <row r="21" ht="15"/>
    <row r="22" ht="15"/>
    <row r="23" ht="15"/>
    <row r="24" ht="15"/>
    <row r="25" ht="15"/>
    <row r="26" ht="15"/>
    <row r="27" ht="15"/>
    <row r="28" ht="15"/>
    <row r="29" ht="15"/>
    <row r="30" ht="15"/>
    <row r="31" ht="15"/>
    <row r="32"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22" customHeight="1"/>
    <row r="55" ht="15"/>
    <row r="56" ht="15"/>
    <row r="57" ht="15"/>
    <row r="58" ht="15"/>
    <row r="59" ht="15"/>
    <row r="60" ht="15"/>
    <row r="61" ht="15"/>
    <row r="62" ht="15"/>
    <row r="63" ht="15"/>
    <row r="64" ht="15"/>
    <row r="65" ht="15"/>
    <row r="66" ht="15"/>
    <row r="67" ht="15"/>
    <row r="68" ht="15"/>
    <row r="69" ht="15"/>
    <row r="70" ht="15"/>
    <row r="71" ht="15" hidden="1"/>
    <row r="72" ht="15" hidden="1"/>
    <row r="73" ht="15" hidden="1"/>
    <row r="74" ht="15" hidden="1"/>
    <row r="75" ht="15" hidden="1"/>
    <row r="76" ht="15" hidden="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E5D9-1AD7-4908-BD06-68919C1D48CF}">
  <sheetPr codeName="Sheet11">
    <tabColor theme="4" tint="-0.499984740745262"/>
  </sheetPr>
  <dimension ref="A1:M173"/>
  <sheetViews>
    <sheetView showGridLines="0" zoomScale="60" zoomScaleNormal="60" workbookViewId="0">
      <selection activeCell="I26" sqref="I26"/>
    </sheetView>
  </sheetViews>
  <sheetFormatPr baseColWidth="10" defaultColWidth="8.83203125" defaultRowHeight="15"/>
  <cols>
    <col min="2" max="2" width="56.5" style="21" customWidth="1"/>
    <col min="3" max="3" width="24.83203125" style="21" customWidth="1"/>
    <col min="4" max="4" width="15.1640625" style="21" customWidth="1"/>
    <col min="5" max="5" width="11" style="21" customWidth="1"/>
    <col min="6" max="6" width="11.83203125" style="21" customWidth="1"/>
    <col min="7" max="7" width="45" style="21" customWidth="1"/>
    <col min="8" max="8" width="21" style="21" customWidth="1"/>
    <col min="9" max="9" width="33.83203125" style="21" customWidth="1"/>
  </cols>
  <sheetData>
    <row r="1" spans="1:13" s="1" customFormat="1">
      <c r="B1" s="2"/>
      <c r="C1" s="2"/>
      <c r="D1" s="2"/>
      <c r="E1" s="2"/>
      <c r="F1" s="2"/>
      <c r="G1" s="2"/>
      <c r="H1" s="2"/>
      <c r="I1" s="2"/>
    </row>
    <row r="2" spans="1:13" s="1" customFormat="1" ht="15" customHeight="1">
      <c r="B2" s="19" t="s">
        <v>0</v>
      </c>
      <c r="C2" s="43"/>
      <c r="D2" s="2"/>
      <c r="E2" s="2"/>
      <c r="F2" s="2"/>
      <c r="G2" s="2"/>
      <c r="H2" s="2"/>
      <c r="I2" s="2"/>
    </row>
    <row r="3" spans="1:13" s="1" customFormat="1" ht="15" customHeight="1">
      <c r="B3" s="19" t="s">
        <v>547</v>
      </c>
      <c r="C3" s="43"/>
      <c r="D3" s="2"/>
      <c r="E3" s="2"/>
      <c r="F3" s="2"/>
      <c r="G3" s="2"/>
      <c r="H3" s="2"/>
      <c r="I3" s="2"/>
    </row>
    <row r="4" spans="1:13" s="4" customFormat="1" ht="15" customHeight="1" thickBot="1">
      <c r="B4" s="5"/>
      <c r="C4" s="5"/>
      <c r="D4" s="5"/>
      <c r="E4" s="5"/>
      <c r="F4" s="5"/>
      <c r="G4" s="5"/>
      <c r="H4" s="5"/>
      <c r="I4" s="5"/>
    </row>
    <row r="6" spans="1:13" ht="14.25" customHeight="1">
      <c r="B6" s="38"/>
    </row>
    <row r="7" spans="1:13">
      <c r="A7" s="9">
        <v>1</v>
      </c>
      <c r="B7" s="53" t="s">
        <v>71</v>
      </c>
      <c r="C7" s="35"/>
      <c r="D7" s="35"/>
      <c r="E7" s="35"/>
      <c r="F7" s="35"/>
      <c r="G7" s="35"/>
      <c r="H7" s="35"/>
      <c r="I7" s="35"/>
    </row>
    <row r="8" spans="1:13">
      <c r="B8" s="24" t="s">
        <v>47</v>
      </c>
      <c r="C8" s="24" t="s">
        <v>48</v>
      </c>
      <c r="D8" s="24" t="s">
        <v>49</v>
      </c>
      <c r="E8" s="24" t="s">
        <v>28</v>
      </c>
      <c r="F8" s="24" t="s">
        <v>50</v>
      </c>
      <c r="G8" s="24" t="s">
        <v>29</v>
      </c>
      <c r="H8" s="24" t="s">
        <v>122</v>
      </c>
      <c r="I8" s="24" t="s">
        <v>123</v>
      </c>
    </row>
    <row r="10" spans="1:13">
      <c r="B10" s="25" t="s">
        <v>548</v>
      </c>
    </row>
    <row r="11" spans="1:13">
      <c r="B11" s="20" t="s">
        <v>689</v>
      </c>
      <c r="C11" s="21">
        <v>16</v>
      </c>
      <c r="D11" s="21" t="s">
        <v>33</v>
      </c>
      <c r="E11" s="21" t="s">
        <v>593</v>
      </c>
      <c r="F11" s="21">
        <v>2021</v>
      </c>
      <c r="G11" s="51" t="s">
        <v>594</v>
      </c>
    </row>
    <row r="12" spans="1:13">
      <c r="B12" s="20" t="s">
        <v>549</v>
      </c>
      <c r="C12" s="21">
        <v>62</v>
      </c>
      <c r="D12" s="21" t="s">
        <v>33</v>
      </c>
      <c r="E12" s="21" t="s">
        <v>593</v>
      </c>
      <c r="F12" s="21">
        <v>2021</v>
      </c>
      <c r="G12" s="21" t="s">
        <v>129</v>
      </c>
    </row>
    <row r="13" spans="1:13">
      <c r="B13" s="20" t="s">
        <v>550</v>
      </c>
      <c r="C13" s="21">
        <v>15</v>
      </c>
      <c r="D13" s="21" t="s">
        <v>33</v>
      </c>
      <c r="E13" s="21" t="s">
        <v>593</v>
      </c>
      <c r="F13" s="21">
        <v>2021</v>
      </c>
      <c r="G13" s="21" t="s">
        <v>129</v>
      </c>
      <c r="M13" t="s">
        <v>551</v>
      </c>
    </row>
    <row r="14" spans="1:13">
      <c r="B14" s="25" t="s">
        <v>552</v>
      </c>
      <c r="I14" s="21" t="s">
        <v>690</v>
      </c>
    </row>
    <row r="15" spans="1:13">
      <c r="B15" s="20" t="s">
        <v>75</v>
      </c>
      <c r="C15" s="65" t="s">
        <v>555</v>
      </c>
      <c r="E15" s="21" t="s">
        <v>593</v>
      </c>
      <c r="F15" s="21">
        <v>2021</v>
      </c>
      <c r="G15" s="21" t="s">
        <v>129</v>
      </c>
    </row>
    <row r="16" spans="1:13">
      <c r="B16" s="20" t="s">
        <v>76</v>
      </c>
      <c r="C16" s="65" t="s">
        <v>557</v>
      </c>
      <c r="E16" s="21" t="s">
        <v>593</v>
      </c>
      <c r="F16" s="21">
        <v>2021</v>
      </c>
      <c r="G16" s="21" t="s">
        <v>129</v>
      </c>
    </row>
    <row r="17" spans="2:9">
      <c r="B17" s="20" t="s">
        <v>77</v>
      </c>
      <c r="C17" s="65" t="s">
        <v>557</v>
      </c>
      <c r="E17" s="21" t="s">
        <v>593</v>
      </c>
      <c r="F17" s="21">
        <v>2021</v>
      </c>
      <c r="G17" s="21" t="s">
        <v>129</v>
      </c>
    </row>
    <row r="18" spans="2:9">
      <c r="B18" s="20" t="s">
        <v>78</v>
      </c>
      <c r="C18" s="65" t="s">
        <v>560</v>
      </c>
      <c r="E18" s="21" t="s">
        <v>51</v>
      </c>
      <c r="F18" s="21">
        <v>2021</v>
      </c>
      <c r="G18" s="21" t="s">
        <v>437</v>
      </c>
      <c r="I18" s="21" t="s">
        <v>691</v>
      </c>
    </row>
    <row r="19" spans="2:9">
      <c r="B19" s="20" t="s">
        <v>79</v>
      </c>
      <c r="C19" s="65" t="s">
        <v>562</v>
      </c>
      <c r="E19" s="21" t="s">
        <v>593</v>
      </c>
      <c r="F19" s="21">
        <v>2021</v>
      </c>
      <c r="G19" s="51" t="s">
        <v>594</v>
      </c>
    </row>
    <row r="20" spans="2:9">
      <c r="B20" s="20" t="s">
        <v>692</v>
      </c>
      <c r="C20" s="65" t="s">
        <v>565</v>
      </c>
      <c r="E20" s="21" t="s">
        <v>593</v>
      </c>
      <c r="F20" s="21">
        <v>2021</v>
      </c>
      <c r="G20" s="21" t="s">
        <v>129</v>
      </c>
    </row>
    <row r="21" spans="2:9">
      <c r="B21" s="25" t="s">
        <v>566</v>
      </c>
    </row>
    <row r="22" spans="2:9">
      <c r="B22" s="20" t="s">
        <v>75</v>
      </c>
      <c r="C22" s="69">
        <v>0.16</v>
      </c>
      <c r="D22" s="21" t="s">
        <v>33</v>
      </c>
      <c r="E22" s="21" t="s">
        <v>593</v>
      </c>
      <c r="F22" s="21">
        <v>2021</v>
      </c>
      <c r="G22" s="21" t="s">
        <v>129</v>
      </c>
    </row>
    <row r="23" spans="2:9">
      <c r="B23" s="20" t="s">
        <v>76</v>
      </c>
      <c r="C23" s="69">
        <v>0.12</v>
      </c>
      <c r="D23" s="21" t="s">
        <v>33</v>
      </c>
      <c r="E23" s="21" t="s">
        <v>593</v>
      </c>
      <c r="F23" s="21">
        <v>2021</v>
      </c>
      <c r="G23" s="21" t="s">
        <v>129</v>
      </c>
    </row>
    <row r="24" spans="2:9">
      <c r="B24" s="20" t="s">
        <v>77</v>
      </c>
      <c r="C24" s="69">
        <v>0.08</v>
      </c>
      <c r="D24" s="21" t="s">
        <v>33</v>
      </c>
      <c r="E24" s="21" t="s">
        <v>593</v>
      </c>
      <c r="F24" s="21">
        <v>2021</v>
      </c>
      <c r="G24" s="21" t="s">
        <v>129</v>
      </c>
    </row>
    <row r="25" spans="2:9">
      <c r="B25" s="20" t="s">
        <v>78</v>
      </c>
      <c r="C25" s="21" t="s">
        <v>571</v>
      </c>
      <c r="D25" s="21" t="s">
        <v>33</v>
      </c>
      <c r="E25" s="21" t="s">
        <v>593</v>
      </c>
      <c r="F25" s="21">
        <v>2021</v>
      </c>
      <c r="G25" s="21" t="s">
        <v>129</v>
      </c>
    </row>
    <row r="26" spans="2:9">
      <c r="B26" s="20" t="s">
        <v>79</v>
      </c>
      <c r="C26" s="69">
        <v>0.12</v>
      </c>
      <c r="D26" s="21" t="s">
        <v>33</v>
      </c>
      <c r="E26" s="21" t="s">
        <v>593</v>
      </c>
      <c r="F26" s="21">
        <v>2021</v>
      </c>
      <c r="G26" s="21" t="s">
        <v>129</v>
      </c>
      <c r="I26" s="21" t="s">
        <v>693</v>
      </c>
    </row>
    <row r="27" spans="2:9">
      <c r="B27" s="20" t="s">
        <v>692</v>
      </c>
      <c r="C27" s="21" t="s">
        <v>573</v>
      </c>
      <c r="D27" s="21" t="s">
        <v>33</v>
      </c>
      <c r="E27" s="21" t="s">
        <v>593</v>
      </c>
      <c r="F27" s="21">
        <v>2021</v>
      </c>
      <c r="G27" s="21" t="s">
        <v>129</v>
      </c>
    </row>
    <row r="28" spans="2:9">
      <c r="B28" s="25" t="s">
        <v>575</v>
      </c>
    </row>
    <row r="29" spans="2:9">
      <c r="B29" s="20" t="s">
        <v>75</v>
      </c>
      <c r="C29" s="21" t="s">
        <v>576</v>
      </c>
      <c r="D29" s="21" t="s">
        <v>33</v>
      </c>
      <c r="E29" s="21" t="s">
        <v>593</v>
      </c>
      <c r="F29" s="21">
        <v>2021</v>
      </c>
      <c r="G29" s="21" t="s">
        <v>129</v>
      </c>
    </row>
    <row r="30" spans="2:9">
      <c r="B30" s="20" t="s">
        <v>76</v>
      </c>
      <c r="C30" s="21" t="s">
        <v>576</v>
      </c>
    </row>
    <row r="31" spans="2:9">
      <c r="B31" s="20" t="s">
        <v>77</v>
      </c>
      <c r="C31" s="21" t="s">
        <v>576</v>
      </c>
      <c r="D31" s="21" t="s">
        <v>33</v>
      </c>
      <c r="E31" s="21" t="s">
        <v>593</v>
      </c>
      <c r="F31" s="21">
        <v>2021</v>
      </c>
      <c r="G31" s="21" t="s">
        <v>129</v>
      </c>
    </row>
    <row r="32" spans="2:9">
      <c r="B32" s="20" t="s">
        <v>78</v>
      </c>
      <c r="C32" s="21" t="s">
        <v>582</v>
      </c>
      <c r="D32" s="21" t="s">
        <v>33</v>
      </c>
      <c r="E32" s="21" t="s">
        <v>285</v>
      </c>
      <c r="F32" s="21">
        <v>2021</v>
      </c>
      <c r="G32" s="21" t="s">
        <v>694</v>
      </c>
    </row>
    <row r="33" spans="2:7">
      <c r="B33" s="20" t="s">
        <v>79</v>
      </c>
      <c r="C33" s="21" t="s">
        <v>584</v>
      </c>
      <c r="D33" s="21" t="s">
        <v>33</v>
      </c>
      <c r="E33" s="21" t="s">
        <v>593</v>
      </c>
      <c r="F33" s="21">
        <v>2021</v>
      </c>
      <c r="G33" s="51" t="s">
        <v>594</v>
      </c>
    </row>
    <row r="34" spans="2:7">
      <c r="B34" s="20" t="s">
        <v>80</v>
      </c>
      <c r="C34" s="55">
        <v>38.200000000000003</v>
      </c>
      <c r="D34" s="21" t="s">
        <v>33</v>
      </c>
      <c r="F34" s="21">
        <v>2021</v>
      </c>
      <c r="G34" s="21" t="s">
        <v>587</v>
      </c>
    </row>
    <row r="35" spans="2:7">
      <c r="B35" s="25" t="s">
        <v>233</v>
      </c>
    </row>
    <row r="36" spans="2:7">
      <c r="B36" s="20" t="s">
        <v>75</v>
      </c>
      <c r="C36" s="21">
        <v>0</v>
      </c>
      <c r="D36" s="21" t="s">
        <v>61</v>
      </c>
      <c r="E36" s="21" t="s">
        <v>593</v>
      </c>
      <c r="F36" s="21">
        <v>2021</v>
      </c>
      <c r="G36" s="51" t="s">
        <v>594</v>
      </c>
    </row>
    <row r="37" spans="2:7">
      <c r="B37" s="20" t="s">
        <v>76</v>
      </c>
      <c r="C37" s="38" t="s">
        <v>42</v>
      </c>
      <c r="G37" s="51"/>
    </row>
    <row r="38" spans="2:7">
      <c r="B38" s="20" t="s">
        <v>77</v>
      </c>
      <c r="C38" s="21">
        <v>0</v>
      </c>
      <c r="D38" s="21" t="s">
        <v>61</v>
      </c>
      <c r="E38" s="21" t="s">
        <v>593</v>
      </c>
      <c r="F38" s="21">
        <v>2021</v>
      </c>
      <c r="G38" s="21" t="s">
        <v>129</v>
      </c>
    </row>
    <row r="39" spans="2:7">
      <c r="B39" s="20" t="s">
        <v>78</v>
      </c>
      <c r="C39" s="21" t="s">
        <v>590</v>
      </c>
      <c r="D39" s="21" t="s">
        <v>61</v>
      </c>
      <c r="F39" s="21">
        <v>2021</v>
      </c>
      <c r="G39" s="51" t="s">
        <v>695</v>
      </c>
    </row>
    <row r="40" spans="2:7">
      <c r="B40" s="20" t="s">
        <v>79</v>
      </c>
      <c r="C40" s="21">
        <v>3</v>
      </c>
      <c r="D40" s="21" t="s">
        <v>61</v>
      </c>
      <c r="E40" s="21" t="s">
        <v>593</v>
      </c>
      <c r="F40" s="21">
        <v>2021</v>
      </c>
      <c r="G40" s="51" t="s">
        <v>594</v>
      </c>
    </row>
    <row r="41" spans="2:7">
      <c r="B41" s="20" t="s">
        <v>692</v>
      </c>
      <c r="C41" s="21">
        <v>0</v>
      </c>
      <c r="D41" s="21" t="s">
        <v>61</v>
      </c>
      <c r="E41" s="21" t="s">
        <v>593</v>
      </c>
      <c r="F41" s="21">
        <v>2021</v>
      </c>
      <c r="G41" s="21" t="s">
        <v>696</v>
      </c>
    </row>
    <row r="42" spans="2:7">
      <c r="B42" s="25" t="s">
        <v>235</v>
      </c>
    </row>
    <row r="43" spans="2:7">
      <c r="B43" s="20" t="s">
        <v>75</v>
      </c>
      <c r="C43" s="21">
        <v>2</v>
      </c>
      <c r="D43" s="21" t="s">
        <v>61</v>
      </c>
      <c r="E43" s="21" t="s">
        <v>593</v>
      </c>
      <c r="F43" s="21">
        <v>2021</v>
      </c>
      <c r="G43" s="51" t="s">
        <v>594</v>
      </c>
    </row>
    <row r="44" spans="2:7">
      <c r="B44" s="20" t="s">
        <v>76</v>
      </c>
      <c r="C44" s="38" t="s">
        <v>42</v>
      </c>
      <c r="G44" s="51"/>
    </row>
    <row r="45" spans="2:7">
      <c r="B45" s="20" t="s">
        <v>77</v>
      </c>
      <c r="C45" s="21">
        <v>1</v>
      </c>
      <c r="D45" s="21" t="s">
        <v>61</v>
      </c>
      <c r="E45" s="21" t="s">
        <v>593</v>
      </c>
      <c r="F45" s="21">
        <v>2021</v>
      </c>
      <c r="G45" s="21" t="s">
        <v>129</v>
      </c>
    </row>
    <row r="46" spans="2:7">
      <c r="B46" s="20" t="s">
        <v>78</v>
      </c>
      <c r="C46" s="21" t="s">
        <v>595</v>
      </c>
      <c r="D46" s="21" t="s">
        <v>61</v>
      </c>
      <c r="E46" s="21" t="s">
        <v>596</v>
      </c>
      <c r="F46" s="21">
        <v>2021</v>
      </c>
      <c r="G46" s="21" t="s">
        <v>597</v>
      </c>
    </row>
    <row r="47" spans="2:7">
      <c r="B47" s="20" t="s">
        <v>79</v>
      </c>
      <c r="C47" s="21">
        <v>1</v>
      </c>
      <c r="D47" s="21" t="s">
        <v>61</v>
      </c>
      <c r="E47" s="21" t="s">
        <v>593</v>
      </c>
      <c r="F47" s="21">
        <v>2021</v>
      </c>
      <c r="G47" s="51" t="s">
        <v>594</v>
      </c>
    </row>
    <row r="48" spans="2:7">
      <c r="B48" s="20" t="s">
        <v>692</v>
      </c>
      <c r="C48" s="21">
        <v>2</v>
      </c>
      <c r="D48" s="21" t="s">
        <v>61</v>
      </c>
      <c r="E48" s="21" t="s">
        <v>593</v>
      </c>
      <c r="F48" s="21">
        <v>2021</v>
      </c>
      <c r="G48" s="21" t="s">
        <v>129</v>
      </c>
    </row>
    <row r="49" spans="1:9">
      <c r="B49" s="25" t="s">
        <v>236</v>
      </c>
    </row>
    <row r="50" spans="1:9">
      <c r="B50" s="20" t="s">
        <v>75</v>
      </c>
      <c r="C50" s="21">
        <v>0</v>
      </c>
      <c r="D50" s="21" t="s">
        <v>33</v>
      </c>
      <c r="E50" s="21" t="s">
        <v>593</v>
      </c>
      <c r="F50" s="21">
        <v>2021</v>
      </c>
      <c r="G50" s="51" t="s">
        <v>594</v>
      </c>
    </row>
    <row r="51" spans="1:9">
      <c r="B51" s="20" t="s">
        <v>76</v>
      </c>
      <c r="C51" s="38" t="s">
        <v>42</v>
      </c>
      <c r="G51" s="51"/>
    </row>
    <row r="52" spans="1:9">
      <c r="B52" s="20" t="s">
        <v>77</v>
      </c>
      <c r="C52" s="21" t="s">
        <v>438</v>
      </c>
      <c r="D52" s="21" t="s">
        <v>33</v>
      </c>
      <c r="E52" s="21" t="s">
        <v>593</v>
      </c>
      <c r="F52" s="21">
        <v>2021</v>
      </c>
      <c r="G52" s="21" t="s">
        <v>129</v>
      </c>
    </row>
    <row r="53" spans="1:9">
      <c r="B53" s="20" t="s">
        <v>78</v>
      </c>
      <c r="C53" s="42" t="s">
        <v>598</v>
      </c>
      <c r="D53" s="21" t="s">
        <v>33</v>
      </c>
      <c r="E53" s="21" t="s">
        <v>697</v>
      </c>
      <c r="F53" s="21">
        <v>2021</v>
      </c>
      <c r="I53" s="21" t="s">
        <v>698</v>
      </c>
    </row>
    <row r="54" spans="1:9">
      <c r="B54" s="20" t="s">
        <v>79</v>
      </c>
      <c r="C54" s="21" t="s">
        <v>439</v>
      </c>
      <c r="D54" s="21" t="s">
        <v>33</v>
      </c>
      <c r="E54" s="21" t="s">
        <v>593</v>
      </c>
      <c r="F54" s="21">
        <v>2021</v>
      </c>
      <c r="G54" s="21" t="s">
        <v>129</v>
      </c>
    </row>
    <row r="55" spans="1:9">
      <c r="B55" s="20" t="s">
        <v>692</v>
      </c>
      <c r="C55" s="21">
        <v>0</v>
      </c>
      <c r="D55" s="21" t="s">
        <v>33</v>
      </c>
      <c r="E55" s="21" t="s">
        <v>593</v>
      </c>
      <c r="F55" s="21">
        <v>2021</v>
      </c>
      <c r="G55" s="21" t="s">
        <v>129</v>
      </c>
    </row>
    <row r="56" spans="1:9">
      <c r="B56" s="25" t="s">
        <v>599</v>
      </c>
      <c r="C56" s="105">
        <f>C34/100</f>
        <v>0.38200000000000001</v>
      </c>
      <c r="I56" s="21" t="s">
        <v>699</v>
      </c>
    </row>
    <row r="58" spans="1:9">
      <c r="A58" s="9">
        <v>2</v>
      </c>
      <c r="B58" s="53" t="s">
        <v>82</v>
      </c>
      <c r="C58" s="35"/>
      <c r="D58" s="35"/>
      <c r="E58" s="35"/>
      <c r="F58" s="35"/>
      <c r="G58" s="35"/>
      <c r="H58" s="35"/>
      <c r="I58" s="35"/>
    </row>
    <row r="59" spans="1:9">
      <c r="B59" s="24" t="s">
        <v>47</v>
      </c>
      <c r="C59" s="24" t="s">
        <v>48</v>
      </c>
      <c r="D59" s="24" t="s">
        <v>49</v>
      </c>
      <c r="E59" s="24" t="s">
        <v>28</v>
      </c>
      <c r="F59" s="24" t="s">
        <v>50</v>
      </c>
      <c r="G59" s="24" t="s">
        <v>29</v>
      </c>
      <c r="H59" s="24" t="s">
        <v>122</v>
      </c>
      <c r="I59" s="24" t="s">
        <v>123</v>
      </c>
    </row>
    <row r="61" spans="1:9">
      <c r="B61" s="21" t="s">
        <v>240</v>
      </c>
      <c r="C61" s="21">
        <f>SUM(C62:C63)</f>
        <v>150</v>
      </c>
      <c r="D61" s="21" t="s">
        <v>61</v>
      </c>
      <c r="E61" s="21" t="s">
        <v>497</v>
      </c>
      <c r="F61" s="21">
        <v>2020</v>
      </c>
      <c r="G61" s="51" t="s">
        <v>700</v>
      </c>
      <c r="H61" s="21" t="s">
        <v>701</v>
      </c>
    </row>
    <row r="62" spans="1:9">
      <c r="B62" s="20" t="s">
        <v>12</v>
      </c>
      <c r="C62" s="21">
        <v>69</v>
      </c>
      <c r="D62" s="21" t="s">
        <v>61</v>
      </c>
      <c r="E62" s="21" t="s">
        <v>497</v>
      </c>
      <c r="F62" s="21">
        <v>2020</v>
      </c>
      <c r="G62" s="21" t="s">
        <v>129</v>
      </c>
      <c r="H62" s="21" t="s">
        <v>701</v>
      </c>
    </row>
    <row r="63" spans="1:9">
      <c r="B63" s="20" t="s">
        <v>600</v>
      </c>
      <c r="C63" s="21">
        <v>81</v>
      </c>
      <c r="D63" s="21" t="s">
        <v>61</v>
      </c>
      <c r="E63" s="21" t="s">
        <v>497</v>
      </c>
      <c r="F63" s="21">
        <v>2020</v>
      </c>
      <c r="G63" s="21" t="s">
        <v>129</v>
      </c>
      <c r="H63" s="21" t="s">
        <v>701</v>
      </c>
    </row>
    <row r="64" spans="1:9">
      <c r="B64" s="20" t="s">
        <v>12</v>
      </c>
      <c r="C64" s="45">
        <f>C62/C61</f>
        <v>0.46</v>
      </c>
      <c r="E64" s="27" t="s">
        <v>52</v>
      </c>
      <c r="F64" s="27" t="s">
        <v>52</v>
      </c>
      <c r="G64" s="27" t="s">
        <v>52</v>
      </c>
      <c r="H64" s="27" t="s">
        <v>52</v>
      </c>
      <c r="I64" s="21" t="s">
        <v>601</v>
      </c>
    </row>
    <row r="65" spans="2:9">
      <c r="B65" s="20" t="s">
        <v>600</v>
      </c>
      <c r="C65" s="45">
        <f>C63/C61</f>
        <v>0.54</v>
      </c>
      <c r="E65" s="27" t="s">
        <v>52</v>
      </c>
      <c r="F65" s="27" t="s">
        <v>52</v>
      </c>
      <c r="G65" s="27" t="s">
        <v>52</v>
      </c>
      <c r="H65" s="27" t="s">
        <v>52</v>
      </c>
      <c r="I65" s="21" t="s">
        <v>601</v>
      </c>
    </row>
    <row r="67" spans="2:9">
      <c r="B67" s="26" t="s">
        <v>702</v>
      </c>
    </row>
    <row r="68" spans="2:9">
      <c r="B68" s="21" t="s">
        <v>602</v>
      </c>
      <c r="C68" s="55">
        <f>C74/365/24/C76</f>
        <v>224.93071730290941</v>
      </c>
      <c r="D68" s="21" t="s">
        <v>43</v>
      </c>
      <c r="E68" s="27" t="s">
        <v>52</v>
      </c>
      <c r="F68" s="21">
        <v>2020</v>
      </c>
      <c r="G68" s="27" t="s">
        <v>52</v>
      </c>
      <c r="H68" s="27" t="s">
        <v>52</v>
      </c>
    </row>
    <row r="69" spans="2:9">
      <c r="B69" s="20" t="s">
        <v>604</v>
      </c>
      <c r="C69" s="56">
        <v>5</v>
      </c>
      <c r="D69" s="21" t="s">
        <v>61</v>
      </c>
      <c r="E69" s="27" t="s">
        <v>52</v>
      </c>
      <c r="F69" s="21">
        <v>2020</v>
      </c>
      <c r="G69" s="27" t="s">
        <v>52</v>
      </c>
      <c r="H69" s="27" t="s">
        <v>52</v>
      </c>
      <c r="I69" s="21" t="s">
        <v>605</v>
      </c>
    </row>
    <row r="70" spans="2:9">
      <c r="B70" s="20" t="s">
        <v>606</v>
      </c>
      <c r="C70" s="66">
        <v>0.67</v>
      </c>
      <c r="E70" s="27" t="s">
        <v>52</v>
      </c>
      <c r="F70" s="27" t="s">
        <v>52</v>
      </c>
      <c r="G70" s="27" t="s">
        <v>52</v>
      </c>
      <c r="H70" s="27" t="s">
        <v>52</v>
      </c>
      <c r="I70" s="21" t="s">
        <v>703</v>
      </c>
    </row>
    <row r="71" spans="2:9">
      <c r="B71" s="20" t="s">
        <v>609</v>
      </c>
      <c r="C71" s="56">
        <v>42.88</v>
      </c>
      <c r="D71" s="21" t="s">
        <v>61</v>
      </c>
      <c r="F71" s="21">
        <v>2020</v>
      </c>
      <c r="H71" s="27" t="s">
        <v>52</v>
      </c>
    </row>
    <row r="72" spans="2:9">
      <c r="B72" s="20" t="s">
        <v>610</v>
      </c>
      <c r="C72" s="64">
        <f>SUM(C69,C71)</f>
        <v>47.88</v>
      </c>
      <c r="D72" s="21" t="s">
        <v>61</v>
      </c>
      <c r="E72" s="27" t="s">
        <v>52</v>
      </c>
      <c r="F72" s="27" t="s">
        <v>52</v>
      </c>
      <c r="G72" s="27" t="s">
        <v>52</v>
      </c>
      <c r="H72" s="27" t="s">
        <v>52</v>
      </c>
      <c r="I72" s="27" t="s">
        <v>52</v>
      </c>
    </row>
    <row r="73" spans="2:9">
      <c r="B73" s="20" t="s">
        <v>611</v>
      </c>
      <c r="C73" s="47">
        <v>1.4279999999999999E-2</v>
      </c>
      <c r="D73" s="21" t="s">
        <v>612</v>
      </c>
      <c r="E73" s="27" t="s">
        <v>52</v>
      </c>
      <c r="F73" s="27">
        <v>2020</v>
      </c>
      <c r="G73" s="51" t="s">
        <v>613</v>
      </c>
      <c r="H73" s="27" t="s">
        <v>52</v>
      </c>
      <c r="I73" s="27" t="s">
        <v>704</v>
      </c>
    </row>
    <row r="74" spans="2:9">
      <c r="B74" s="20" t="s">
        <v>614</v>
      </c>
      <c r="C74" s="85">
        <f>C73*C72*10^6</f>
        <v>683726.39999999991</v>
      </c>
      <c r="D74" s="21" t="s">
        <v>529</v>
      </c>
      <c r="E74" s="27" t="s">
        <v>52</v>
      </c>
      <c r="F74" s="27" t="s">
        <v>52</v>
      </c>
      <c r="G74" s="27" t="s">
        <v>52</v>
      </c>
      <c r="I74" s="27"/>
    </row>
    <row r="75" spans="2:9">
      <c r="B75" s="21" t="s">
        <v>615</v>
      </c>
      <c r="C75" s="46">
        <v>6</v>
      </c>
      <c r="D75" s="21" t="s">
        <v>43</v>
      </c>
      <c r="E75" s="27"/>
      <c r="F75" s="27"/>
      <c r="G75" s="27"/>
      <c r="I75" s="27" t="s">
        <v>587</v>
      </c>
    </row>
    <row r="76" spans="2:9">
      <c r="B76" s="21" t="s">
        <v>616</v>
      </c>
      <c r="C76" s="80">
        <f>34.7%</f>
        <v>0.34700000000000003</v>
      </c>
      <c r="D76" s="21" t="s">
        <v>33</v>
      </c>
      <c r="E76" s="21" t="s">
        <v>51</v>
      </c>
      <c r="F76" s="21">
        <v>2020</v>
      </c>
      <c r="G76" s="21" t="s">
        <v>31</v>
      </c>
      <c r="H76" s="21" t="s">
        <v>447</v>
      </c>
      <c r="I76" s="21" t="s">
        <v>617</v>
      </c>
    </row>
    <row r="77" spans="2:9">
      <c r="B77" s="40" t="s">
        <v>258</v>
      </c>
      <c r="C77" s="46">
        <v>1.9</v>
      </c>
      <c r="D77" s="40" t="s">
        <v>259</v>
      </c>
      <c r="E77" s="21" t="s">
        <v>260</v>
      </c>
      <c r="F77" s="21">
        <v>2020</v>
      </c>
      <c r="G77" s="51" t="s">
        <v>705</v>
      </c>
      <c r="I77" s="21" t="s">
        <v>263</v>
      </c>
    </row>
    <row r="78" spans="2:9">
      <c r="B78" s="29" t="s">
        <v>264</v>
      </c>
      <c r="C78" s="84" t="s">
        <v>52</v>
      </c>
      <c r="D78" s="40" t="s">
        <v>33</v>
      </c>
      <c r="E78" s="21" t="s">
        <v>51</v>
      </c>
      <c r="F78" s="21">
        <v>2020</v>
      </c>
      <c r="G78" s="51" t="s">
        <v>31</v>
      </c>
      <c r="I78" s="21" t="s">
        <v>447</v>
      </c>
    </row>
    <row r="79" spans="2:9">
      <c r="B79" s="20" t="s">
        <v>266</v>
      </c>
      <c r="C79" s="21">
        <v>4.5</v>
      </c>
      <c r="D79" s="21" t="s">
        <v>267</v>
      </c>
      <c r="E79" s="21" t="s">
        <v>268</v>
      </c>
      <c r="F79" s="21">
        <v>2020</v>
      </c>
      <c r="G79" s="51" t="s">
        <v>269</v>
      </c>
      <c r="H79" s="21" t="s">
        <v>270</v>
      </c>
      <c r="I79" s="21" t="s">
        <v>271</v>
      </c>
    </row>
    <row r="80" spans="2:9" ht="16">
      <c r="B80" s="41" t="s">
        <v>706</v>
      </c>
      <c r="C80" s="95">
        <f>(C68+C75)*C77</f>
        <v>438.76836287552788</v>
      </c>
      <c r="D80" s="21" t="s">
        <v>53</v>
      </c>
      <c r="E80" s="27"/>
      <c r="F80" s="27"/>
      <c r="G80" s="27"/>
      <c r="I80" s="27"/>
    </row>
    <row r="81" spans="2:9">
      <c r="B81" s="20"/>
    </row>
    <row r="82" spans="2:9">
      <c r="B82" s="25" t="s">
        <v>274</v>
      </c>
    </row>
    <row r="83" spans="2:9">
      <c r="B83" s="29" t="s">
        <v>619</v>
      </c>
      <c r="C83" s="76">
        <v>1055711</v>
      </c>
      <c r="D83" s="40" t="s">
        <v>620</v>
      </c>
      <c r="E83" s="40" t="s">
        <v>497</v>
      </c>
      <c r="F83" s="21">
        <v>2020</v>
      </c>
      <c r="G83" s="27" t="s">
        <v>52</v>
      </c>
      <c r="H83" s="27" t="s">
        <v>52</v>
      </c>
      <c r="I83" s="40"/>
    </row>
    <row r="84" spans="2:9">
      <c r="B84" s="29" t="s">
        <v>623</v>
      </c>
      <c r="C84" s="75">
        <f>C83/120/1000</f>
        <v>8.7975916666666674</v>
      </c>
      <c r="D84" s="40" t="s">
        <v>44</v>
      </c>
      <c r="E84" s="40" t="s">
        <v>497</v>
      </c>
      <c r="F84" s="21">
        <v>2020</v>
      </c>
      <c r="G84" s="27" t="s">
        <v>52</v>
      </c>
      <c r="H84" s="27" t="s">
        <v>52</v>
      </c>
      <c r="I84" s="40" t="s">
        <v>276</v>
      </c>
    </row>
    <row r="85" spans="2:9">
      <c r="B85" s="20" t="s">
        <v>624</v>
      </c>
      <c r="C85" s="75">
        <v>9.4849035156250014</v>
      </c>
      <c r="D85" s="21" t="s">
        <v>44</v>
      </c>
      <c r="E85" s="40"/>
      <c r="G85" s="27"/>
      <c r="H85" s="27"/>
    </row>
    <row r="86" spans="2:9" ht="16" customHeight="1">
      <c r="B86" s="41" t="s">
        <v>280</v>
      </c>
      <c r="C86" s="104">
        <f>C85*C88</f>
        <v>109.07639042968752</v>
      </c>
      <c r="D86" s="21" t="s">
        <v>53</v>
      </c>
      <c r="E86" s="40"/>
      <c r="G86" s="27"/>
      <c r="H86" s="27"/>
    </row>
    <row r="87" spans="2:9" ht="16">
      <c r="B87" s="41" t="s">
        <v>282</v>
      </c>
      <c r="C87" s="104">
        <f>C85*C89</f>
        <v>61.651872851562509</v>
      </c>
      <c r="D87" s="21" t="s">
        <v>53</v>
      </c>
      <c r="E87" s="40"/>
      <c r="G87" s="27"/>
      <c r="H87" s="27"/>
    </row>
    <row r="88" spans="2:9">
      <c r="B88" s="29" t="s">
        <v>283</v>
      </c>
      <c r="C88" s="21">
        <v>11.5</v>
      </c>
      <c r="D88" s="40" t="s">
        <v>284</v>
      </c>
      <c r="E88" s="21" t="s">
        <v>707</v>
      </c>
      <c r="F88" s="21">
        <v>2021</v>
      </c>
      <c r="G88" s="27" t="s">
        <v>52</v>
      </c>
      <c r="H88" s="27" t="s">
        <v>52</v>
      </c>
      <c r="I88" s="21" t="s">
        <v>708</v>
      </c>
    </row>
    <row r="89" spans="2:9">
      <c r="B89" s="29" t="s">
        <v>287</v>
      </c>
      <c r="C89" s="21">
        <v>6.5</v>
      </c>
      <c r="D89" s="40" t="s">
        <v>284</v>
      </c>
      <c r="E89" s="21" t="s">
        <v>707</v>
      </c>
      <c r="F89" s="21">
        <v>2021</v>
      </c>
      <c r="G89" s="27" t="s">
        <v>52</v>
      </c>
      <c r="H89" s="27" t="s">
        <v>52</v>
      </c>
      <c r="I89" s="21" t="s">
        <v>709</v>
      </c>
    </row>
    <row r="91" spans="2:9">
      <c r="B91" s="25" t="s">
        <v>625</v>
      </c>
    </row>
    <row r="92" spans="2:9">
      <c r="B92" s="25" t="s">
        <v>106</v>
      </c>
      <c r="C92" s="57">
        <f>90%*15%*C93</f>
        <v>149.97150000000002</v>
      </c>
      <c r="D92" s="21" t="s">
        <v>44</v>
      </c>
      <c r="E92" s="27" t="s">
        <v>52</v>
      </c>
      <c r="F92" s="27" t="s">
        <v>52</v>
      </c>
      <c r="G92" s="27" t="s">
        <v>52</v>
      </c>
      <c r="H92" s="27" t="s">
        <v>52</v>
      </c>
      <c r="I92" s="21" t="s">
        <v>710</v>
      </c>
    </row>
    <row r="93" spans="2:9">
      <c r="B93" s="20" t="s">
        <v>627</v>
      </c>
      <c r="C93" s="67">
        <v>1110.9000000000001</v>
      </c>
      <c r="D93" s="21" t="s">
        <v>44</v>
      </c>
      <c r="E93" s="27" t="s">
        <v>52</v>
      </c>
      <c r="F93" s="27" t="s">
        <v>52</v>
      </c>
      <c r="G93" s="27" t="s">
        <v>52</v>
      </c>
      <c r="H93" s="27" t="s">
        <v>52</v>
      </c>
      <c r="I93" s="27" t="s">
        <v>52</v>
      </c>
    </row>
    <row r="94" spans="2:9" ht="16">
      <c r="B94" s="30" t="s">
        <v>630</v>
      </c>
      <c r="C94" s="95">
        <f>C92*C96/1000</f>
        <v>26.245012500000005</v>
      </c>
      <c r="D94" s="21" t="s">
        <v>295</v>
      </c>
      <c r="E94" s="27" t="s">
        <v>52</v>
      </c>
      <c r="F94" s="27" t="s">
        <v>52</v>
      </c>
      <c r="G94" s="27" t="s">
        <v>52</v>
      </c>
      <c r="H94" s="27" t="s">
        <v>52</v>
      </c>
      <c r="I94" s="27" t="s">
        <v>52</v>
      </c>
    </row>
    <row r="95" spans="2:9" ht="16">
      <c r="B95" s="30" t="s">
        <v>631</v>
      </c>
      <c r="C95" s="95">
        <f>C92*C97/1000</f>
        <v>11.997720000000001</v>
      </c>
      <c r="D95" s="21" t="s">
        <v>295</v>
      </c>
      <c r="E95" s="27" t="s">
        <v>52</v>
      </c>
      <c r="F95" s="27" t="s">
        <v>52</v>
      </c>
      <c r="G95" s="27" t="s">
        <v>52</v>
      </c>
      <c r="H95" s="27" t="s">
        <v>52</v>
      </c>
      <c r="I95" s="27" t="s">
        <v>52</v>
      </c>
    </row>
    <row r="96" spans="2:9">
      <c r="B96" s="20" t="s">
        <v>456</v>
      </c>
      <c r="C96" s="56">
        <v>175</v>
      </c>
      <c r="D96" s="21" t="s">
        <v>297</v>
      </c>
      <c r="E96" s="21" t="s">
        <v>298</v>
      </c>
      <c r="G96" s="63" t="s">
        <v>457</v>
      </c>
      <c r="I96" s="21" t="s">
        <v>458</v>
      </c>
    </row>
    <row r="97" spans="1:10">
      <c r="B97" s="20" t="s">
        <v>459</v>
      </c>
      <c r="C97" s="64">
        <v>80</v>
      </c>
      <c r="D97" s="21" t="s">
        <v>297</v>
      </c>
      <c r="E97" s="21" t="s">
        <v>298</v>
      </c>
      <c r="G97" s="21" t="s">
        <v>129</v>
      </c>
      <c r="I97" s="21" t="s">
        <v>460</v>
      </c>
    </row>
    <row r="99" spans="1:10">
      <c r="A99" s="9">
        <v>3</v>
      </c>
      <c r="B99" s="53" t="s">
        <v>62</v>
      </c>
      <c r="C99" s="35"/>
      <c r="D99" s="35"/>
      <c r="E99" s="35"/>
      <c r="F99" s="35"/>
      <c r="G99" s="35"/>
      <c r="H99" s="35"/>
      <c r="I99" s="35"/>
    </row>
    <row r="100" spans="1:10">
      <c r="B100" s="24" t="s">
        <v>47</v>
      </c>
      <c r="C100" s="24" t="s">
        <v>48</v>
      </c>
      <c r="D100" s="24" t="s">
        <v>49</v>
      </c>
      <c r="E100" s="24" t="s">
        <v>28</v>
      </c>
      <c r="F100" s="24" t="s">
        <v>50</v>
      </c>
      <c r="G100" s="24" t="s">
        <v>29</v>
      </c>
      <c r="H100" s="24" t="s">
        <v>122</v>
      </c>
      <c r="I100" s="24" t="s">
        <v>123</v>
      </c>
    </row>
    <row r="102" spans="1:10">
      <c r="B102" s="21" t="s">
        <v>632</v>
      </c>
      <c r="C102" s="21">
        <v>0</v>
      </c>
      <c r="E102" s="21" t="s">
        <v>151</v>
      </c>
      <c r="F102" s="21">
        <v>2020</v>
      </c>
      <c r="G102" s="51" t="s">
        <v>510</v>
      </c>
      <c r="I102" s="21" t="s">
        <v>633</v>
      </c>
    </row>
    <row r="103" spans="1:10">
      <c r="B103" s="21" t="s">
        <v>634</v>
      </c>
      <c r="C103" s="106">
        <f>C34/100</f>
        <v>0.38200000000000001</v>
      </c>
      <c r="G103" s="21" t="s">
        <v>587</v>
      </c>
    </row>
    <row r="104" spans="1:10">
      <c r="B104" s="21" t="s">
        <v>467</v>
      </c>
      <c r="C104" s="21">
        <v>2489</v>
      </c>
      <c r="D104" s="21" t="s">
        <v>463</v>
      </c>
      <c r="E104" s="21" t="s">
        <v>711</v>
      </c>
      <c r="F104" s="21">
        <v>2021</v>
      </c>
      <c r="G104" s="51" t="s">
        <v>712</v>
      </c>
      <c r="I104" s="21" t="s">
        <v>713</v>
      </c>
    </row>
    <row r="105" spans="1:10">
      <c r="B105" s="21" t="s">
        <v>56</v>
      </c>
      <c r="C105" s="21">
        <v>67.3</v>
      </c>
      <c r="D105" s="21" t="s">
        <v>61</v>
      </c>
      <c r="F105" s="21">
        <v>2021</v>
      </c>
      <c r="G105" s="21" t="s">
        <v>504</v>
      </c>
    </row>
    <row r="106" spans="1:10">
      <c r="B106" s="21" t="s">
        <v>469</v>
      </c>
      <c r="C106" s="42">
        <f>C104*C105/1000</f>
        <v>167.50969999999998</v>
      </c>
      <c r="D106" s="21" t="s">
        <v>295</v>
      </c>
      <c r="E106" s="27" t="s">
        <v>52</v>
      </c>
      <c r="F106" s="27" t="s">
        <v>52</v>
      </c>
      <c r="G106" s="27" t="s">
        <v>52</v>
      </c>
      <c r="H106" s="27" t="s">
        <v>52</v>
      </c>
      <c r="I106" s="27" t="s">
        <v>52</v>
      </c>
      <c r="J106" s="117">
        <f>C107/1000</f>
        <v>0.95079800000000003</v>
      </c>
    </row>
    <row r="107" spans="1:10">
      <c r="B107" s="21" t="s">
        <v>639</v>
      </c>
      <c r="C107" s="93">
        <f>C103*C104</f>
        <v>950.798</v>
      </c>
      <c r="D107" s="21" t="s">
        <v>640</v>
      </c>
      <c r="E107" s="27" t="s">
        <v>52</v>
      </c>
      <c r="F107" s="27" t="s">
        <v>52</v>
      </c>
      <c r="G107" s="27" t="s">
        <v>52</v>
      </c>
      <c r="H107" s="27" t="s">
        <v>52</v>
      </c>
      <c r="I107" s="27" t="s">
        <v>52</v>
      </c>
      <c r="J107" s="117">
        <f>J106*C111</f>
        <v>143.57049800000001</v>
      </c>
    </row>
    <row r="108" spans="1:10">
      <c r="J108" s="117"/>
    </row>
    <row r="109" spans="1:10">
      <c r="B109" s="25" t="s">
        <v>641</v>
      </c>
      <c r="C109" s="107">
        <f>C111*C107/1000/C110</f>
        <v>3.5892624499999997E-3</v>
      </c>
      <c r="E109" s="27" t="s">
        <v>52</v>
      </c>
      <c r="F109" s="27" t="s">
        <v>52</v>
      </c>
      <c r="G109" s="27" t="s">
        <v>52</v>
      </c>
      <c r="H109" s="27" t="s">
        <v>52</v>
      </c>
      <c r="I109" s="27"/>
    </row>
    <row r="110" spans="1:10">
      <c r="B110" s="20" t="s">
        <v>642</v>
      </c>
      <c r="C110" s="108">
        <v>40000</v>
      </c>
      <c r="D110" s="21" t="s">
        <v>328</v>
      </c>
    </row>
    <row r="111" spans="1:10">
      <c r="B111" s="20" t="s">
        <v>643</v>
      </c>
      <c r="C111" s="21">
        <v>151</v>
      </c>
      <c r="D111" s="21" t="s">
        <v>644</v>
      </c>
      <c r="E111" s="51" t="s">
        <v>714</v>
      </c>
    </row>
    <row r="112" spans="1:10">
      <c r="B112" s="20" t="s">
        <v>646</v>
      </c>
      <c r="C112" s="95">
        <f>C107/1000*C111</f>
        <v>143.57049800000001</v>
      </c>
      <c r="D112" s="21" t="s">
        <v>328</v>
      </c>
      <c r="E112" s="109"/>
      <c r="I112" s="21" t="s">
        <v>715</v>
      </c>
    </row>
    <row r="114" spans="1:9">
      <c r="B114" s="25" t="s">
        <v>641</v>
      </c>
      <c r="C114" s="45">
        <f>C116*C107/1000/1000/C115</f>
        <v>1.7827462499999999E-2</v>
      </c>
      <c r="E114" s="27" t="s">
        <v>52</v>
      </c>
      <c r="F114" s="27" t="s">
        <v>52</v>
      </c>
      <c r="G114" s="27" t="s">
        <v>52</v>
      </c>
      <c r="H114" s="27" t="s">
        <v>52</v>
      </c>
      <c r="I114" s="27" t="s">
        <v>52</v>
      </c>
    </row>
    <row r="115" spans="1:9">
      <c r="B115" s="20" t="s">
        <v>647</v>
      </c>
      <c r="C115" s="21">
        <v>0.8</v>
      </c>
      <c r="D115" s="21" t="s">
        <v>328</v>
      </c>
      <c r="E115" s="27" t="s">
        <v>52</v>
      </c>
      <c r="F115" s="27" t="s">
        <v>52</v>
      </c>
      <c r="G115" s="51" t="s">
        <v>716</v>
      </c>
      <c r="H115" s="27" t="s">
        <v>52</v>
      </c>
      <c r="I115" s="27" t="s">
        <v>649</v>
      </c>
    </row>
    <row r="116" spans="1:9">
      <c r="B116" s="20" t="s">
        <v>650</v>
      </c>
      <c r="C116" s="21">
        <v>15</v>
      </c>
      <c r="D116" s="21" t="s">
        <v>651</v>
      </c>
      <c r="E116" s="21" t="s">
        <v>652</v>
      </c>
      <c r="F116" s="27" t="s">
        <v>52</v>
      </c>
      <c r="G116" s="51" t="s">
        <v>653</v>
      </c>
    </row>
    <row r="117" spans="1:9">
      <c r="B117" s="20" t="s">
        <v>646</v>
      </c>
      <c r="C117" s="50">
        <f>C107/1000000*C116</f>
        <v>1.4261970000000001E-2</v>
      </c>
      <c r="D117" s="21" t="s">
        <v>328</v>
      </c>
      <c r="E117" s="69"/>
      <c r="F117" s="27"/>
      <c r="G117" s="51"/>
    </row>
    <row r="119" spans="1:9">
      <c r="A119" s="9">
        <v>4</v>
      </c>
      <c r="B119" s="53" t="s">
        <v>329</v>
      </c>
      <c r="C119" s="35"/>
      <c r="D119" s="35"/>
      <c r="E119" s="35"/>
      <c r="F119" s="35"/>
      <c r="G119" s="35"/>
      <c r="H119" s="35"/>
      <c r="I119" s="35"/>
    </row>
    <row r="120" spans="1:9">
      <c r="B120" s="24" t="s">
        <v>47</v>
      </c>
      <c r="C120" s="24" t="s">
        <v>48</v>
      </c>
      <c r="D120" s="24" t="s">
        <v>49</v>
      </c>
      <c r="E120" s="24" t="s">
        <v>28</v>
      </c>
      <c r="F120" s="24" t="s">
        <v>50</v>
      </c>
      <c r="G120" s="24" t="s">
        <v>29</v>
      </c>
      <c r="H120" s="24" t="s">
        <v>122</v>
      </c>
      <c r="I120" s="24" t="s">
        <v>123</v>
      </c>
    </row>
    <row r="122" spans="1:9">
      <c r="B122" s="25" t="s">
        <v>654</v>
      </c>
      <c r="C122" s="21" t="s">
        <v>330</v>
      </c>
    </row>
    <row r="123" spans="1:9">
      <c r="B123" s="25"/>
    </row>
    <row r="124" spans="1:9">
      <c r="B124" s="21" t="s">
        <v>655</v>
      </c>
      <c r="C124" s="44">
        <v>0.38</v>
      </c>
      <c r="I124" s="21" t="s">
        <v>656</v>
      </c>
    </row>
    <row r="125" spans="1:9">
      <c r="B125" s="21" t="s">
        <v>657</v>
      </c>
      <c r="C125" s="44">
        <v>0.28000000000000003</v>
      </c>
    </row>
    <row r="126" spans="1:9">
      <c r="B126" s="21" t="s">
        <v>658</v>
      </c>
      <c r="C126" s="47">
        <v>4.5080000000000009</v>
      </c>
      <c r="D126" s="21" t="s">
        <v>331</v>
      </c>
      <c r="I126" s="21" t="s">
        <v>659</v>
      </c>
    </row>
    <row r="127" spans="1:9">
      <c r="B127" s="21" t="s">
        <v>660</v>
      </c>
      <c r="C127" s="55">
        <f>C124*C104</f>
        <v>945.82</v>
      </c>
      <c r="E127" s="27" t="s">
        <v>52</v>
      </c>
      <c r="F127" s="27" t="s">
        <v>52</v>
      </c>
      <c r="G127" s="27" t="s">
        <v>52</v>
      </c>
      <c r="H127" s="27" t="s">
        <v>52</v>
      </c>
      <c r="I127" s="27" t="s">
        <v>52</v>
      </c>
    </row>
    <row r="128" spans="1:9">
      <c r="B128" s="21" t="s">
        <v>333</v>
      </c>
      <c r="C128" s="95">
        <f>C127/C126</f>
        <v>209.80922803904167</v>
      </c>
      <c r="E128" s="27" t="s">
        <v>52</v>
      </c>
      <c r="F128" s="27" t="s">
        <v>52</v>
      </c>
      <c r="G128" s="27" t="s">
        <v>52</v>
      </c>
      <c r="H128" s="27" t="s">
        <v>52</v>
      </c>
      <c r="I128" s="27" t="s">
        <v>52</v>
      </c>
    </row>
    <row r="130" spans="2:9">
      <c r="B130" s="25" t="s">
        <v>334</v>
      </c>
    </row>
    <row r="131" spans="2:9">
      <c r="B131" s="20" t="s">
        <v>335</v>
      </c>
      <c r="C131" s="21" t="s">
        <v>336</v>
      </c>
      <c r="D131" s="21" t="s">
        <v>337</v>
      </c>
      <c r="E131" s="21" t="s">
        <v>338</v>
      </c>
      <c r="F131" s="21">
        <v>2021</v>
      </c>
      <c r="G131" s="51" t="s">
        <v>661</v>
      </c>
      <c r="H131" s="27" t="s">
        <v>52</v>
      </c>
      <c r="I131" s="21" t="s">
        <v>339</v>
      </c>
    </row>
    <row r="132" spans="2:9">
      <c r="B132" s="20" t="s">
        <v>340</v>
      </c>
      <c r="C132" s="21">
        <v>70</v>
      </c>
      <c r="D132" s="21" t="s">
        <v>481</v>
      </c>
      <c r="E132" s="21" t="s">
        <v>360</v>
      </c>
      <c r="F132" s="21">
        <v>2021</v>
      </c>
      <c r="G132" s="21" t="s">
        <v>129</v>
      </c>
      <c r="H132" s="27" t="s">
        <v>52</v>
      </c>
    </row>
    <row r="133" spans="2:9">
      <c r="B133" s="20" t="s">
        <v>55</v>
      </c>
      <c r="C133" s="21">
        <v>0</v>
      </c>
      <c r="D133" s="21" t="s">
        <v>337</v>
      </c>
      <c r="E133" s="21" t="s">
        <v>338</v>
      </c>
      <c r="F133" s="21">
        <v>2021</v>
      </c>
      <c r="G133" s="21" t="s">
        <v>129</v>
      </c>
      <c r="H133" s="27" t="s">
        <v>52</v>
      </c>
    </row>
    <row r="134" spans="2:9">
      <c r="B134" s="20" t="s">
        <v>341</v>
      </c>
      <c r="C134" s="21" t="s">
        <v>342</v>
      </c>
      <c r="D134" s="21" t="s">
        <v>337</v>
      </c>
      <c r="E134" s="21" t="s">
        <v>338</v>
      </c>
      <c r="F134" s="21">
        <v>2021</v>
      </c>
      <c r="G134" s="21" t="s">
        <v>129</v>
      </c>
      <c r="H134" s="27" t="s">
        <v>52</v>
      </c>
      <c r="I134" s="21" t="s">
        <v>339</v>
      </c>
    </row>
    <row r="135" spans="2:9">
      <c r="B135" s="20" t="s">
        <v>343</v>
      </c>
      <c r="C135" s="21">
        <v>2.6</v>
      </c>
      <c r="D135" s="21" t="s">
        <v>337</v>
      </c>
      <c r="E135" s="21" t="s">
        <v>338</v>
      </c>
      <c r="F135" s="21">
        <v>2021</v>
      </c>
      <c r="G135" s="21" t="s">
        <v>129</v>
      </c>
      <c r="H135" s="27" t="s">
        <v>52</v>
      </c>
    </row>
    <row r="137" spans="2:9">
      <c r="B137" s="32" t="s">
        <v>717</v>
      </c>
    </row>
    <row r="138" spans="2:9">
      <c r="B138" s="32" t="s">
        <v>718</v>
      </c>
      <c r="C138" s="25" t="s">
        <v>719</v>
      </c>
      <c r="G138" s="25" t="s">
        <v>720</v>
      </c>
      <c r="H138" s="25" t="s">
        <v>719</v>
      </c>
    </row>
    <row r="139" spans="2:9">
      <c r="B139" s="21" t="s">
        <v>721</v>
      </c>
      <c r="C139" s="63" t="s">
        <v>722</v>
      </c>
      <c r="G139" s="21" t="s">
        <v>723</v>
      </c>
      <c r="H139" s="63" t="s">
        <v>724</v>
      </c>
    </row>
    <row r="140" spans="2:9">
      <c r="B140" s="21" t="s">
        <v>725</v>
      </c>
      <c r="C140" s="63" t="s">
        <v>726</v>
      </c>
      <c r="G140" s="21" t="s">
        <v>727</v>
      </c>
      <c r="H140" s="63" t="s">
        <v>728</v>
      </c>
    </row>
    <row r="141" spans="2:9">
      <c r="B141" s="21" t="s">
        <v>729</v>
      </c>
      <c r="C141" s="63" t="s">
        <v>730</v>
      </c>
      <c r="G141" s="21" t="s">
        <v>731</v>
      </c>
      <c r="H141" s="63" t="s">
        <v>732</v>
      </c>
    </row>
    <row r="142" spans="2:9">
      <c r="B142" s="21" t="s">
        <v>733</v>
      </c>
      <c r="C142" s="63" t="s">
        <v>594</v>
      </c>
      <c r="G142" s="21" t="s">
        <v>734</v>
      </c>
      <c r="H142" s="63" t="s">
        <v>735</v>
      </c>
    </row>
    <row r="143" spans="2:9">
      <c r="B143" s="21" t="s">
        <v>736</v>
      </c>
      <c r="C143" s="63" t="s">
        <v>737</v>
      </c>
      <c r="G143" s="21" t="s">
        <v>738</v>
      </c>
      <c r="H143" s="63" t="s">
        <v>739</v>
      </c>
    </row>
    <row r="144" spans="2:9">
      <c r="B144" s="39"/>
      <c r="C144" s="51"/>
    </row>
    <row r="145" spans="1:11">
      <c r="A145" s="9">
        <v>5</v>
      </c>
      <c r="B145" s="53" t="s">
        <v>70</v>
      </c>
      <c r="C145" s="35"/>
      <c r="D145" s="35"/>
      <c r="E145" s="35"/>
      <c r="F145" s="35"/>
      <c r="G145" s="35"/>
      <c r="H145" s="35"/>
      <c r="I145" s="35"/>
    </row>
    <row r="146" spans="1:11">
      <c r="B146" s="24" t="s">
        <v>47</v>
      </c>
      <c r="C146" s="24" t="s">
        <v>48</v>
      </c>
      <c r="D146" s="24" t="s">
        <v>49</v>
      </c>
      <c r="E146" s="24" t="s">
        <v>28</v>
      </c>
      <c r="F146" s="24" t="s">
        <v>50</v>
      </c>
      <c r="G146" s="24" t="s">
        <v>29</v>
      </c>
      <c r="H146" s="24" t="s">
        <v>122</v>
      </c>
      <c r="I146" s="24" t="s">
        <v>123</v>
      </c>
    </row>
    <row r="148" spans="1:11">
      <c r="B148" s="25" t="s">
        <v>482</v>
      </c>
    </row>
    <row r="149" spans="1:11">
      <c r="B149" s="20" t="s">
        <v>662</v>
      </c>
      <c r="C149" s="21">
        <v>0</v>
      </c>
      <c r="D149" s="21" t="s">
        <v>61</v>
      </c>
      <c r="I149" s="27" t="s">
        <v>663</v>
      </c>
    </row>
    <row r="150" spans="1:11">
      <c r="B150" s="20" t="s">
        <v>486</v>
      </c>
      <c r="C150" s="55">
        <f>C149/(C149+C152)*C153</f>
        <v>0</v>
      </c>
      <c r="D150" s="27" t="s">
        <v>52</v>
      </c>
      <c r="E150" s="27" t="s">
        <v>52</v>
      </c>
      <c r="F150" s="27" t="s">
        <v>52</v>
      </c>
      <c r="G150" s="27" t="s">
        <v>52</v>
      </c>
      <c r="H150" s="27" t="s">
        <v>52</v>
      </c>
      <c r="I150" s="27" t="s">
        <v>663</v>
      </c>
    </row>
    <row r="151" spans="1:11">
      <c r="B151" s="25" t="s">
        <v>487</v>
      </c>
    </row>
    <row r="152" spans="1:11">
      <c r="B152" s="20" t="s">
        <v>662</v>
      </c>
      <c r="C152" s="21">
        <v>64</v>
      </c>
      <c r="D152" s="21" t="s">
        <v>61</v>
      </c>
      <c r="I152" s="27" t="s">
        <v>663</v>
      </c>
    </row>
    <row r="153" spans="1:11" ht="15" customHeight="1">
      <c r="B153" s="20" t="s">
        <v>349</v>
      </c>
      <c r="C153" s="21">
        <v>209</v>
      </c>
      <c r="D153" s="27" t="s">
        <v>52</v>
      </c>
      <c r="E153" s="27" t="s">
        <v>52</v>
      </c>
      <c r="F153" s="27" t="s">
        <v>52</v>
      </c>
      <c r="G153" s="27" t="s">
        <v>52</v>
      </c>
      <c r="H153" s="27" t="s">
        <v>52</v>
      </c>
      <c r="I153" s="27" t="s">
        <v>663</v>
      </c>
    </row>
    <row r="154" spans="1:11" ht="15" customHeight="1">
      <c r="B154" s="25" t="s">
        <v>350</v>
      </c>
    </row>
    <row r="155" spans="1:11">
      <c r="B155" s="20" t="s">
        <v>740</v>
      </c>
      <c r="C155" s="110" t="s">
        <v>42</v>
      </c>
      <c r="D155" s="27" t="s">
        <v>52</v>
      </c>
      <c r="E155" s="27" t="s">
        <v>52</v>
      </c>
      <c r="F155" s="27" t="s">
        <v>52</v>
      </c>
      <c r="G155" s="27" t="s">
        <v>52</v>
      </c>
      <c r="H155" s="27" t="s">
        <v>52</v>
      </c>
      <c r="I155" s="27" t="s">
        <v>741</v>
      </c>
    </row>
    <row r="156" spans="1:11">
      <c r="B156" s="20" t="s">
        <v>742</v>
      </c>
      <c r="C156" s="110" t="s">
        <v>42</v>
      </c>
      <c r="D156" s="27" t="s">
        <v>52</v>
      </c>
      <c r="E156" s="27" t="s">
        <v>52</v>
      </c>
      <c r="F156" s="27" t="s">
        <v>52</v>
      </c>
      <c r="G156" s="27" t="s">
        <v>52</v>
      </c>
      <c r="H156" s="27" t="s">
        <v>52</v>
      </c>
      <c r="I156" s="27" t="s">
        <v>741</v>
      </c>
    </row>
    <row r="158" spans="1:11">
      <c r="B158" s="25" t="s">
        <v>674</v>
      </c>
    </row>
    <row r="159" spans="1:11">
      <c r="B159" s="20" t="s">
        <v>118</v>
      </c>
      <c r="C159" s="21">
        <v>151</v>
      </c>
      <c r="D159" s="27" t="s">
        <v>53</v>
      </c>
      <c r="E159" s="27" t="s">
        <v>360</v>
      </c>
      <c r="F159" s="21">
        <v>2020</v>
      </c>
      <c r="G159" s="27"/>
      <c r="J159" s="21"/>
      <c r="K159" s="21"/>
    </row>
    <row r="160" spans="1:11">
      <c r="B160" s="20" t="s">
        <v>361</v>
      </c>
      <c r="C160" s="21">
        <v>25</v>
      </c>
      <c r="D160" s="27" t="s">
        <v>53</v>
      </c>
      <c r="E160" s="27" t="s">
        <v>360</v>
      </c>
      <c r="F160" s="27">
        <v>2020</v>
      </c>
      <c r="G160" s="27"/>
      <c r="J160" s="21"/>
      <c r="K160" s="21"/>
    </row>
    <row r="161" spans="2:11">
      <c r="B161" s="20" t="s">
        <v>362</v>
      </c>
      <c r="C161" s="21">
        <v>17</v>
      </c>
      <c r="D161" s="21" t="s">
        <v>53</v>
      </c>
      <c r="E161" s="21" t="s">
        <v>360</v>
      </c>
      <c r="F161" s="21">
        <v>2020</v>
      </c>
      <c r="J161" s="21"/>
      <c r="K161" s="21"/>
    </row>
    <row r="162" spans="2:11">
      <c r="B162" s="20" t="s">
        <v>363</v>
      </c>
      <c r="C162" s="59">
        <v>5.5500000000000001E-2</v>
      </c>
      <c r="D162" s="21" t="s">
        <v>33</v>
      </c>
      <c r="F162" s="21">
        <v>2020</v>
      </c>
      <c r="G162" s="51" t="s">
        <v>493</v>
      </c>
      <c r="H162" s="27" t="s">
        <v>366</v>
      </c>
      <c r="I162" s="21" t="s">
        <v>743</v>
      </c>
      <c r="J162" s="21"/>
      <c r="K162" s="21"/>
    </row>
    <row r="163" spans="2:11">
      <c r="B163" s="20" t="s">
        <v>362</v>
      </c>
      <c r="C163" s="21">
        <v>0</v>
      </c>
      <c r="D163" s="21" t="s">
        <v>53</v>
      </c>
      <c r="E163" s="21" t="s">
        <v>360</v>
      </c>
      <c r="F163" s="21">
        <v>2020</v>
      </c>
      <c r="J163" s="21"/>
      <c r="K163" s="21"/>
    </row>
    <row r="164" spans="2:11">
      <c r="B164" s="20" t="s">
        <v>367</v>
      </c>
      <c r="C164" s="21" t="s">
        <v>368</v>
      </c>
      <c r="D164" s="27" t="s">
        <v>52</v>
      </c>
      <c r="E164" s="21" t="s">
        <v>360</v>
      </c>
      <c r="F164" s="21">
        <v>2020</v>
      </c>
      <c r="G164" s="27"/>
      <c r="I164" s="21" t="s">
        <v>744</v>
      </c>
      <c r="J164" s="21"/>
      <c r="K164" s="21"/>
    </row>
    <row r="165" spans="2:11">
      <c r="B165" s="20" t="s">
        <v>369</v>
      </c>
      <c r="C165" s="21">
        <v>50</v>
      </c>
      <c r="D165" s="27" t="s">
        <v>52</v>
      </c>
      <c r="E165" s="21" t="s">
        <v>360</v>
      </c>
      <c r="F165" s="21">
        <v>2020</v>
      </c>
      <c r="G165" s="27"/>
      <c r="I165" s="21" t="s">
        <v>745</v>
      </c>
      <c r="J165" s="21"/>
      <c r="K165" s="21"/>
    </row>
    <row r="167" spans="2:11">
      <c r="B167" s="25" t="s">
        <v>746</v>
      </c>
    </row>
    <row r="168" spans="2:11">
      <c r="B168" s="20" t="s">
        <v>747</v>
      </c>
      <c r="C168" s="27" t="s">
        <v>52</v>
      </c>
      <c r="D168" s="27" t="s">
        <v>52</v>
      </c>
      <c r="E168" s="27" t="s">
        <v>52</v>
      </c>
      <c r="F168" s="21">
        <v>2021</v>
      </c>
      <c r="G168" s="21" t="s">
        <v>748</v>
      </c>
    </row>
    <row r="169" spans="2:11">
      <c r="B169" s="20" t="s">
        <v>749</v>
      </c>
      <c r="C169" s="27" t="s">
        <v>52</v>
      </c>
      <c r="D169" s="27" t="s">
        <v>52</v>
      </c>
      <c r="E169" s="27" t="s">
        <v>52</v>
      </c>
      <c r="F169" s="21">
        <v>2021</v>
      </c>
      <c r="G169" s="51" t="s">
        <v>750</v>
      </c>
    </row>
    <row r="170" spans="2:11">
      <c r="B170" s="20" t="s">
        <v>751</v>
      </c>
      <c r="C170" s="27" t="s">
        <v>52</v>
      </c>
      <c r="D170" s="27" t="s">
        <v>52</v>
      </c>
      <c r="E170" s="27" t="s">
        <v>52</v>
      </c>
      <c r="F170" s="21">
        <v>2021</v>
      </c>
      <c r="G170" s="21" t="s">
        <v>752</v>
      </c>
    </row>
    <row r="171" spans="2:11">
      <c r="B171" s="20" t="s">
        <v>753</v>
      </c>
      <c r="C171" s="27" t="s">
        <v>52</v>
      </c>
      <c r="D171" s="27" t="s">
        <v>52</v>
      </c>
      <c r="E171" s="27" t="s">
        <v>52</v>
      </c>
      <c r="F171" s="21">
        <v>2021</v>
      </c>
      <c r="G171" s="21" t="s">
        <v>754</v>
      </c>
    </row>
    <row r="173" spans="2:11" s="18" customFormat="1">
      <c r="B173" s="53" t="s">
        <v>370</v>
      </c>
      <c r="C173" s="35"/>
      <c r="D173" s="35"/>
      <c r="E173" s="35"/>
      <c r="F173" s="35"/>
      <c r="G173" s="35"/>
      <c r="H173" s="35"/>
      <c r="I173" s="35"/>
    </row>
  </sheetData>
  <dataValidations disablePrompts="1" count="1">
    <dataValidation type="list" allowBlank="1" showInputMessage="1" showErrorMessage="1" sqref="J159:J165" xr:uid="{63431B23-B97A-4611-A1BB-3FC9B7814C08}">
      <formula1>"Available annually, Available every few years, Infrequent / Once-off"</formula1>
    </dataValidation>
  </dataValidations>
  <hyperlinks>
    <hyperlink ref="G39" r:id="rId1" xr:uid="{C62099F6-18C8-4A0C-98F1-4DF6FCC8A9D9}"/>
    <hyperlink ref="G104" r:id="rId2" xr:uid="{307DE5C9-0D97-4647-BD8A-9BE0E2FB165E}"/>
    <hyperlink ref="G61" r:id="rId3" location=":~:text=The%20International%20Aluminium%20Institute%20(IAI,analysis%20and%20future%20demand%20scenarios." display="https://international-aluminium.org/resource/1-5-degrees-scenario-a-model-to-drive-emissions-reduction/ - :~:text=The%20International%20Aluminium%20Institute%20(IAI,analysis%20and%20future%20demand%20scenarios." xr:uid="{BD4BA77E-CD74-41C4-AE28-1E0C661E52B6}"/>
    <hyperlink ref="G73" r:id="rId4" display="https://international-aluminium.org/statistics/primary-aluminium-smelting-energy-intensity/" xr:uid="{1C48E121-802C-43EB-8CD6-DA2CE8D3B455}"/>
    <hyperlink ref="G102" r:id="rId5" xr:uid="{ED0AC6EF-92BC-4791-9B66-6A33653C124A}"/>
    <hyperlink ref="G116" r:id="rId6" xr:uid="{293BF350-39CB-4570-91D8-622202E099F4}"/>
    <hyperlink ref="G115" r:id="rId7" display="https://www.amazon.com/s?k=pepsi+cans+12+pack&amp;crid=31UF4XCPJGCL7&amp;sprefix=pepsi+can%2Caps%2C441&amp;ref=nb_sb_ss_ts-doa-p_5_9" xr:uid="{894CE5E4-C208-463C-9E3A-E96D88A7EAF9}"/>
    <hyperlink ref="G169" r:id="rId8" xr:uid="{E64BBBF5-120A-48DF-AB76-5BEDB735BA31}"/>
    <hyperlink ref="G162" r:id="rId9" xr:uid="{FB74FE89-71CB-4EFA-91CE-FD0923A5C49C}"/>
    <hyperlink ref="G96" r:id="rId10"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70EFA79D-8F18-4309-AE52-005FB82FC634}"/>
    <hyperlink ref="G11" r:id="rId11" display="https://missionpossiblepartnership.org/wp-content/uploads/2021/12/Closing-the-Gap-for-Aluminium-Emissions.pdf" xr:uid="{6DE8C8C6-8006-4F93-A445-C62FF100AF44}"/>
    <hyperlink ref="G19" r:id="rId12" display="https://missionpossiblepartnership.org/wp-content/uploads/2021/12/Closing-the-Gap-for-Aluminium-Emissions.pdf" xr:uid="{24F47D98-7F69-42C4-AF59-534AC3738764}"/>
    <hyperlink ref="G33" r:id="rId13" display="https://missionpossiblepartnership.org/wp-content/uploads/2021/12/Closing-the-Gap-for-Aluminium-Emissions.pdf" xr:uid="{3F072396-DC79-4F27-A685-95282CAB7A0B}"/>
    <hyperlink ref="G36" r:id="rId14" display="https://missionpossiblepartnership.org/wp-content/uploads/2021/12/Closing-the-Gap-for-Aluminium-Emissions.pdf" xr:uid="{86E2F16E-0F3A-462A-A26D-9E27572B8267}"/>
    <hyperlink ref="G40" r:id="rId15" display="https://missionpossiblepartnership.org/wp-content/uploads/2021/12/Closing-the-Gap-for-Aluminium-Emissions.pdf" xr:uid="{A8DDD391-37A3-406D-ADC9-D8E146E1A40D}"/>
    <hyperlink ref="G43" r:id="rId16" display="https://missionpossiblepartnership.org/wp-content/uploads/2021/12/Closing-the-Gap-for-Aluminium-Emissions.pdf" xr:uid="{882EC6E0-F01A-45C1-86EE-144478D930C6}"/>
    <hyperlink ref="G47" r:id="rId17" display="https://missionpossiblepartnership.org/wp-content/uploads/2021/12/Closing-the-Gap-for-Aluminium-Emissions.pdf" xr:uid="{044736D4-1E5D-4514-A1FE-0FDD8FCCEE6E}"/>
    <hyperlink ref="G50" r:id="rId18" display="https://missionpossiblepartnership.org/wp-content/uploads/2021/12/Closing-the-Gap-for-Aluminium-Emissions.pdf" xr:uid="{BB21CEC8-A410-4D69-8FB0-884C21F322B8}"/>
    <hyperlink ref="G131" r:id="rId19" display="https://carbonpricingdashboard.worldbank.org/" xr:uid="{50B912A0-F216-4C16-8081-3002E52A71F1}"/>
    <hyperlink ref="C139" r:id="rId20" display="https://www.canada.ca/en/natural-resources-canada/news/2021/05/canadas-invests-in-improving-energy-efficiency-in-canadian-aluminum-sector.html" xr:uid="{7CEC1FDA-2BB6-4441-B0E9-50F686576A1B}"/>
    <hyperlink ref="C140" r:id="rId21" display="https://www.iea.org/policies/13775-australian-government-support-for-hydrogen-use-in-alumina-refining" xr:uid="{64F37FEF-467F-4893-A3A5-F3C87D424406}"/>
    <hyperlink ref="C141" r:id="rId22" location=":~:text=China%20pledged%20to%20cut%20carbon,Technology%20said%20in%20a%20statement." display="https://www.bloomberg.com/news/articles/2021-12-29/china-vows-to-cut-carbon-emissions-from-aluminum-by-5-by-2025 - :~:text=China%20pledged%20to%20cut%20carbon,Technology%20said%20in%20a%20statement." xr:uid="{3CB82076-3609-400A-86D4-A2DB0A40CD1C}"/>
    <hyperlink ref="C142" r:id="rId23" display="https://missionpossiblepartnership.org/wp-content/uploads/2021/12/Closing-the-Gap-for-Aluminium-Emissions.pdf" xr:uid="{76CBC449-79CD-4B2E-8A02-4A570A4D10E3}"/>
    <hyperlink ref="C143" r:id="rId24" display="https://romcometals.com/lme-launches-sustainability-register-for-aluminium-and-other-metals/" xr:uid="{AF270D06-7C80-400B-8A9D-41480C779664}"/>
    <hyperlink ref="H143" r:id="rId25" display="https://economictimes.indiatimes.com/news/international/business/china-calls-on-state-firms-to-cut-energy-consumption-amid-carbon-peak-goals/articleshow/88588444.cms?from=mdr" xr:uid="{468D6949-EE76-4076-867D-CFBB0A051872}"/>
    <hyperlink ref="G77" r:id="rId26" display="https://www.irena.org/publications/2021/Jun/Renewable-Power-Costs-in-2020" xr:uid="{1FFC4765-0338-422A-B421-74B92AE61D53}"/>
    <hyperlink ref="E111" r:id="rId27" xr:uid="{5B500777-0907-49C9-B42A-A60E77836A68}"/>
    <hyperlink ref="G79" r:id="rId28" xr:uid="{E2696B58-8462-4DE5-9DE0-2267050C7379}"/>
  </hyperlinks>
  <pageMargins left="0.7" right="0.7" top="0.75" bottom="0.75" header="0.3" footer="0.3"/>
  <pageSetup orientation="portrait" r:id="rId2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07BCA-FF08-49A7-932B-87D7F7282E7B}">
  <sheetPr codeName="Sheet12">
    <tabColor rgb="FF0070C0"/>
  </sheetPr>
  <dimension ref="B1:K82"/>
  <sheetViews>
    <sheetView showGridLines="0" topLeftCell="A7" zoomScale="60" zoomScaleNormal="60" workbookViewId="0">
      <selection activeCell="C29" sqref="C29"/>
    </sheetView>
  </sheetViews>
  <sheetFormatPr baseColWidth="10" defaultColWidth="8.83203125" defaultRowHeight="15"/>
  <cols>
    <col min="1" max="1" width="13.33203125" bestFit="1" customWidth="1"/>
    <col min="2" max="2" width="37.1640625" style="21" customWidth="1"/>
    <col min="3" max="3" width="11" style="21" customWidth="1"/>
    <col min="4" max="4" width="15.1640625" style="21" customWidth="1"/>
    <col min="5" max="5" width="11" style="21" customWidth="1"/>
    <col min="6" max="6" width="11.83203125" style="21" customWidth="1"/>
    <col min="7" max="7" width="52.83203125" style="21" customWidth="1"/>
    <col min="8" max="8" width="25.83203125" style="21" customWidth="1"/>
    <col min="9" max="9" width="33.83203125" style="21" customWidth="1"/>
  </cols>
  <sheetData>
    <row r="1" spans="2:9" s="1" customFormat="1">
      <c r="B1" s="2"/>
      <c r="C1" s="2"/>
      <c r="D1" s="2"/>
      <c r="E1" s="2"/>
      <c r="F1" s="2"/>
      <c r="G1" s="2"/>
      <c r="H1" s="2"/>
      <c r="I1" s="2"/>
    </row>
    <row r="2" spans="2:9" s="1" customFormat="1" ht="15" customHeight="1">
      <c r="B2" s="19" t="s">
        <v>371</v>
      </c>
      <c r="C2" s="19"/>
      <c r="D2" s="2"/>
      <c r="E2" s="2"/>
      <c r="F2" s="2"/>
      <c r="G2" s="2"/>
      <c r="H2" s="2"/>
      <c r="I2" s="2"/>
    </row>
    <row r="3" spans="2:9" s="1" customFormat="1" ht="15" customHeight="1">
      <c r="B3" s="19" t="s">
        <v>755</v>
      </c>
      <c r="C3" s="19"/>
      <c r="D3" s="2"/>
      <c r="E3" s="2"/>
      <c r="F3" s="2"/>
      <c r="G3" s="2"/>
      <c r="H3" s="2"/>
      <c r="I3" s="2"/>
    </row>
    <row r="4" spans="2:9" s="4" customFormat="1" ht="15" customHeight="1" thickBot="1">
      <c r="B4" s="5"/>
      <c r="C4" s="5"/>
      <c r="D4" s="5"/>
      <c r="E4" s="5"/>
      <c r="F4" s="5"/>
      <c r="G4" s="5"/>
      <c r="H4" s="5"/>
      <c r="I4" s="5"/>
    </row>
    <row r="6" spans="2:9" ht="14.25" customHeight="1">
      <c r="B6" s="13" t="s">
        <v>756</v>
      </c>
      <c r="C6" s="13"/>
      <c r="D6" s="35"/>
      <c r="E6" s="35"/>
      <c r="F6" s="35"/>
      <c r="G6" s="35"/>
      <c r="H6" s="35"/>
      <c r="I6" s="35"/>
    </row>
    <row r="7" spans="2:9">
      <c r="B7" s="24" t="s">
        <v>47</v>
      </c>
      <c r="C7" s="24" t="s">
        <v>48</v>
      </c>
      <c r="D7" s="24" t="s">
        <v>49</v>
      </c>
      <c r="E7" s="24" t="s">
        <v>28</v>
      </c>
      <c r="F7" s="24" t="s">
        <v>50</v>
      </c>
      <c r="G7" s="24" t="s">
        <v>29</v>
      </c>
      <c r="H7" s="24" t="s">
        <v>122</v>
      </c>
      <c r="I7" s="24" t="s">
        <v>123</v>
      </c>
    </row>
    <row r="9" spans="2:9">
      <c r="B9" s="21" t="s">
        <v>124</v>
      </c>
      <c r="C9" s="42">
        <f>SUM(C10:C12)</f>
        <v>0.59</v>
      </c>
      <c r="D9" s="21" t="s">
        <v>125</v>
      </c>
      <c r="G9" s="51"/>
    </row>
    <row r="10" spans="2:9">
      <c r="B10" s="20" t="s">
        <v>23</v>
      </c>
      <c r="C10" s="102">
        <v>0.42</v>
      </c>
      <c r="D10" s="21" t="s">
        <v>125</v>
      </c>
      <c r="E10" s="21" t="s">
        <v>51</v>
      </c>
      <c r="F10" s="21">
        <v>2022</v>
      </c>
      <c r="G10" s="51" t="s">
        <v>757</v>
      </c>
    </row>
    <row r="11" spans="2:9">
      <c r="B11" s="20" t="s">
        <v>24</v>
      </c>
      <c r="C11" s="93">
        <v>0.04</v>
      </c>
      <c r="D11" s="21" t="s">
        <v>125</v>
      </c>
      <c r="E11" s="21" t="s">
        <v>51</v>
      </c>
      <c r="F11" s="21">
        <v>2020</v>
      </c>
      <c r="G11" s="51" t="s">
        <v>58</v>
      </c>
      <c r="H11" s="21" t="s">
        <v>758</v>
      </c>
    </row>
    <row r="12" spans="2:9">
      <c r="B12" s="20" t="s">
        <v>759</v>
      </c>
      <c r="C12" s="21">
        <v>0.13</v>
      </c>
      <c r="D12" s="21" t="s">
        <v>125</v>
      </c>
      <c r="E12" s="21" t="s">
        <v>51</v>
      </c>
      <c r="F12" s="21">
        <v>2020</v>
      </c>
      <c r="G12" s="51" t="s">
        <v>58</v>
      </c>
      <c r="H12" s="21" t="s">
        <v>760</v>
      </c>
      <c r="I12" s="21" t="s">
        <v>761</v>
      </c>
    </row>
    <row r="13" spans="2:9">
      <c r="B13" s="20" t="s">
        <v>762</v>
      </c>
      <c r="C13" s="20">
        <v>0.70199999999999996</v>
      </c>
      <c r="D13" s="21" t="s">
        <v>125</v>
      </c>
      <c r="E13" s="21" t="s">
        <v>763</v>
      </c>
      <c r="F13" s="21">
        <v>2020</v>
      </c>
      <c r="G13" s="51" t="s">
        <v>764</v>
      </c>
    </row>
    <row r="14" spans="2:9">
      <c r="B14" s="20" t="s">
        <v>765</v>
      </c>
      <c r="C14" s="47">
        <f>SUM(C12:C13)</f>
        <v>0.83199999999999996</v>
      </c>
      <c r="D14" s="21" t="s">
        <v>125</v>
      </c>
      <c r="E14" s="27" t="s">
        <v>52</v>
      </c>
      <c r="F14" s="27" t="s">
        <v>52</v>
      </c>
      <c r="G14" s="27" t="s">
        <v>52</v>
      </c>
      <c r="H14" s="27" t="s">
        <v>52</v>
      </c>
    </row>
    <row r="15" spans="2:9">
      <c r="B15" s="21" t="s">
        <v>131</v>
      </c>
      <c r="C15" s="27" t="s">
        <v>697</v>
      </c>
      <c r="D15" s="21" t="s">
        <v>125</v>
      </c>
      <c r="E15" s="27" t="s">
        <v>52</v>
      </c>
      <c r="F15" s="27" t="s">
        <v>52</v>
      </c>
      <c r="G15" s="27" t="s">
        <v>52</v>
      </c>
      <c r="H15" s="27" t="s">
        <v>52</v>
      </c>
      <c r="I15" s="21" t="s">
        <v>766</v>
      </c>
    </row>
    <row r="16" spans="2:9">
      <c r="B16" s="21" t="s">
        <v>133</v>
      </c>
      <c r="C16" s="93">
        <v>4</v>
      </c>
      <c r="D16" s="21" t="s">
        <v>767</v>
      </c>
      <c r="E16" s="21" t="s">
        <v>260</v>
      </c>
      <c r="F16" s="21">
        <v>2022</v>
      </c>
      <c r="G16" s="51" t="s">
        <v>768</v>
      </c>
      <c r="H16" s="21" t="s">
        <v>769</v>
      </c>
    </row>
    <row r="17" spans="2:10">
      <c r="B17" s="21" t="s">
        <v>136</v>
      </c>
      <c r="C17" s="21" t="s">
        <v>52</v>
      </c>
      <c r="D17" s="21" t="s">
        <v>125</v>
      </c>
      <c r="E17" s="27" t="s">
        <v>52</v>
      </c>
      <c r="F17" s="27" t="s">
        <v>52</v>
      </c>
      <c r="G17" s="27" t="s">
        <v>52</v>
      </c>
      <c r="H17" s="27" t="s">
        <v>52</v>
      </c>
    </row>
    <row r="18" spans="2:10">
      <c r="E18" s="27"/>
      <c r="F18" s="27"/>
      <c r="G18" s="27"/>
      <c r="H18" s="27"/>
    </row>
    <row r="19" spans="2:10">
      <c r="B19" s="53" t="s">
        <v>138</v>
      </c>
      <c r="C19" s="53"/>
      <c r="D19" s="35"/>
      <c r="E19" s="35"/>
      <c r="F19" s="35"/>
      <c r="G19" s="35"/>
      <c r="H19" s="35"/>
      <c r="I19" s="35"/>
    </row>
    <row r="20" spans="2:10">
      <c r="B20" s="24" t="s">
        <v>47</v>
      </c>
      <c r="C20" s="24" t="s">
        <v>48</v>
      </c>
      <c r="D20" s="24" t="s">
        <v>49</v>
      </c>
      <c r="E20" s="24" t="s">
        <v>28</v>
      </c>
      <c r="F20" s="24" t="s">
        <v>50</v>
      </c>
      <c r="G20" s="24" t="s">
        <v>29</v>
      </c>
      <c r="H20" s="24" t="s">
        <v>122</v>
      </c>
      <c r="I20" s="24" t="s">
        <v>123</v>
      </c>
    </row>
    <row r="22" spans="2:10">
      <c r="B22" s="21" t="s">
        <v>139</v>
      </c>
      <c r="C22" s="46">
        <v>187</v>
      </c>
      <c r="D22" s="21" t="s">
        <v>145</v>
      </c>
      <c r="E22" s="21" t="s">
        <v>285</v>
      </c>
      <c r="F22" s="21">
        <v>2022</v>
      </c>
      <c r="G22" s="27" t="s">
        <v>52</v>
      </c>
      <c r="H22" s="27" t="s">
        <v>52</v>
      </c>
      <c r="I22" s="27" t="s">
        <v>770</v>
      </c>
    </row>
    <row r="23" spans="2:10">
      <c r="B23" s="21" t="s">
        <v>771</v>
      </c>
      <c r="C23" s="96">
        <v>0.01</v>
      </c>
      <c r="D23" s="21" t="s">
        <v>33</v>
      </c>
      <c r="E23" s="21" t="s">
        <v>260</v>
      </c>
      <c r="F23" s="21">
        <v>2022</v>
      </c>
      <c r="G23" s="51" t="s">
        <v>768</v>
      </c>
      <c r="H23" s="21">
        <v>41</v>
      </c>
    </row>
    <row r="24" spans="2:10">
      <c r="B24" s="21" t="s">
        <v>772</v>
      </c>
      <c r="C24" s="93" t="s">
        <v>386</v>
      </c>
      <c r="D24" s="21" t="s">
        <v>33</v>
      </c>
      <c r="E24" s="27" t="s">
        <v>52</v>
      </c>
      <c r="F24" s="27" t="s">
        <v>52</v>
      </c>
      <c r="G24" s="27" t="s">
        <v>52</v>
      </c>
      <c r="H24" s="27" t="s">
        <v>52</v>
      </c>
      <c r="I24" s="21" t="s">
        <v>773</v>
      </c>
    </row>
    <row r="26" spans="2:10">
      <c r="B26" s="53" t="s">
        <v>158</v>
      </c>
      <c r="C26" s="53"/>
      <c r="D26" s="35"/>
      <c r="E26" s="35"/>
      <c r="F26" s="35"/>
      <c r="G26" s="35"/>
      <c r="H26" s="35"/>
      <c r="I26" s="35"/>
    </row>
    <row r="27" spans="2:10">
      <c r="B27" s="24" t="s">
        <v>47</v>
      </c>
      <c r="C27" s="24" t="s">
        <v>48</v>
      </c>
      <c r="D27" s="24" t="s">
        <v>49</v>
      </c>
      <c r="E27" s="24" t="s">
        <v>28</v>
      </c>
      <c r="F27" s="24" t="s">
        <v>50</v>
      </c>
      <c r="G27" s="24" t="s">
        <v>29</v>
      </c>
      <c r="H27" s="24" t="s">
        <v>122</v>
      </c>
      <c r="I27" s="24" t="s">
        <v>123</v>
      </c>
    </row>
    <row r="29" spans="2:10">
      <c r="B29" s="25" t="s">
        <v>159</v>
      </c>
      <c r="C29" s="46">
        <v>2.6</v>
      </c>
      <c r="D29" s="52" t="s">
        <v>161</v>
      </c>
      <c r="E29" s="27" t="s">
        <v>185</v>
      </c>
      <c r="F29" s="27">
        <v>2022</v>
      </c>
      <c r="G29" s="27" t="s">
        <v>52</v>
      </c>
      <c r="H29" s="27"/>
      <c r="J29" s="16"/>
    </row>
    <row r="30" spans="2:10">
      <c r="B30" s="20" t="s">
        <v>774</v>
      </c>
      <c r="C30" s="21" t="s">
        <v>775</v>
      </c>
      <c r="D30" s="52" t="s">
        <v>161</v>
      </c>
      <c r="E30" s="27" t="s">
        <v>51</v>
      </c>
      <c r="F30" s="27" t="s">
        <v>52</v>
      </c>
      <c r="G30" s="27" t="s">
        <v>52</v>
      </c>
    </row>
    <row r="31" spans="2:10">
      <c r="B31" s="20" t="s">
        <v>776</v>
      </c>
      <c r="C31" s="21">
        <v>1.8</v>
      </c>
      <c r="D31" s="52" t="s">
        <v>161</v>
      </c>
      <c r="E31" s="27" t="s">
        <v>51</v>
      </c>
      <c r="F31" s="27">
        <v>2020</v>
      </c>
      <c r="G31" s="51" t="s">
        <v>58</v>
      </c>
      <c r="H31" s="21" t="s">
        <v>777</v>
      </c>
    </row>
    <row r="32" spans="2:10">
      <c r="B32" s="20" t="s">
        <v>778</v>
      </c>
      <c r="C32" s="21">
        <v>3.2</v>
      </c>
      <c r="D32" s="52" t="s">
        <v>161</v>
      </c>
      <c r="E32" s="27" t="s">
        <v>51</v>
      </c>
      <c r="F32" s="27">
        <v>2020</v>
      </c>
      <c r="G32" s="51" t="s">
        <v>58</v>
      </c>
      <c r="H32" s="21" t="s">
        <v>777</v>
      </c>
    </row>
    <row r="33" spans="2:9">
      <c r="B33" s="25" t="s">
        <v>167</v>
      </c>
      <c r="C33" s="25"/>
      <c r="E33" s="27"/>
      <c r="F33" s="27"/>
      <c r="G33" s="27"/>
      <c r="H33" s="27"/>
    </row>
    <row r="34" spans="2:9">
      <c r="B34" s="20" t="s">
        <v>774</v>
      </c>
      <c r="C34" s="48" t="s">
        <v>386</v>
      </c>
      <c r="D34" s="21" t="s">
        <v>33</v>
      </c>
      <c r="E34" s="21" t="s">
        <v>51</v>
      </c>
      <c r="F34" s="27">
        <v>2020</v>
      </c>
      <c r="G34" s="51" t="s">
        <v>58</v>
      </c>
      <c r="H34" s="21" t="s">
        <v>777</v>
      </c>
    </row>
    <row r="35" spans="2:9">
      <c r="B35" s="20" t="s">
        <v>776</v>
      </c>
      <c r="C35" s="48">
        <v>0.73</v>
      </c>
      <c r="D35" s="52" t="s">
        <v>33</v>
      </c>
      <c r="E35" s="21" t="s">
        <v>51</v>
      </c>
      <c r="F35" s="21">
        <v>2020</v>
      </c>
      <c r="G35" s="21" t="s">
        <v>129</v>
      </c>
      <c r="H35" s="21" t="s">
        <v>129</v>
      </c>
    </row>
    <row r="36" spans="2:9">
      <c r="B36" s="20" t="s">
        <v>778</v>
      </c>
      <c r="C36" s="48">
        <v>0.26</v>
      </c>
      <c r="D36" s="21" t="s">
        <v>33</v>
      </c>
      <c r="E36" s="21" t="s">
        <v>51</v>
      </c>
      <c r="F36" s="21">
        <v>2020</v>
      </c>
      <c r="G36" s="21" t="s">
        <v>129</v>
      </c>
      <c r="H36" s="21" t="s">
        <v>129</v>
      </c>
    </row>
    <row r="37" spans="2:9">
      <c r="B37" s="20"/>
      <c r="C37" s="20"/>
    </row>
    <row r="38" spans="2:9">
      <c r="B38" s="25" t="s">
        <v>168</v>
      </c>
      <c r="C38" s="98">
        <f>SUMPRODUCT(C40:C41,C35:C36)/SUM(C35:C36)</f>
        <v>33.713131313131314</v>
      </c>
      <c r="D38" s="21" t="s">
        <v>169</v>
      </c>
      <c r="E38" s="21" t="s">
        <v>51</v>
      </c>
      <c r="F38" s="21">
        <v>2021</v>
      </c>
      <c r="G38" s="21" t="s">
        <v>129</v>
      </c>
    </row>
    <row r="39" spans="2:9" ht="16">
      <c r="B39" s="20" t="s">
        <v>774</v>
      </c>
      <c r="C39" s="21">
        <v>36</v>
      </c>
      <c r="D39" s="21" t="s">
        <v>169</v>
      </c>
      <c r="E39" s="27" t="s">
        <v>51</v>
      </c>
      <c r="F39" s="27">
        <v>2019</v>
      </c>
      <c r="G39" s="51" t="s">
        <v>58</v>
      </c>
      <c r="H39" s="21" t="s">
        <v>777</v>
      </c>
      <c r="I39" s="31" t="s">
        <v>779</v>
      </c>
    </row>
    <row r="40" spans="2:9" ht="16">
      <c r="B40" s="20" t="s">
        <v>776</v>
      </c>
      <c r="C40" s="21">
        <v>32.4</v>
      </c>
      <c r="D40" s="21" t="s">
        <v>169</v>
      </c>
      <c r="E40" s="27" t="s">
        <v>51</v>
      </c>
      <c r="F40" s="27">
        <v>2019</v>
      </c>
      <c r="G40" s="51" t="s">
        <v>58</v>
      </c>
      <c r="H40" s="21" t="s">
        <v>777</v>
      </c>
      <c r="I40" s="31" t="s">
        <v>779</v>
      </c>
    </row>
    <row r="41" spans="2:9" ht="16">
      <c r="B41" s="20" t="s">
        <v>778</v>
      </c>
      <c r="C41" s="21">
        <v>37.4</v>
      </c>
      <c r="D41" s="21" t="s">
        <v>169</v>
      </c>
      <c r="E41" s="27" t="s">
        <v>51</v>
      </c>
      <c r="F41" s="27">
        <v>2019</v>
      </c>
      <c r="G41" s="51" t="s">
        <v>58</v>
      </c>
      <c r="H41" s="21" t="s">
        <v>777</v>
      </c>
      <c r="I41" s="31" t="s">
        <v>779</v>
      </c>
    </row>
    <row r="42" spans="2:9">
      <c r="B42" s="20"/>
      <c r="C42" s="20"/>
      <c r="E42" s="27"/>
      <c r="F42" s="27"/>
      <c r="I42" s="31"/>
    </row>
    <row r="44" spans="2:9">
      <c r="B44" s="53" t="s">
        <v>170</v>
      </c>
      <c r="C44" s="53"/>
      <c r="D44" s="35"/>
      <c r="E44" s="35"/>
      <c r="F44" s="35"/>
      <c r="G44" s="35"/>
      <c r="H44" s="35"/>
      <c r="I44" s="35"/>
    </row>
    <row r="45" spans="2:9">
      <c r="B45" s="24" t="s">
        <v>47</v>
      </c>
      <c r="C45" s="24" t="s">
        <v>48</v>
      </c>
      <c r="D45" s="24" t="s">
        <v>49</v>
      </c>
      <c r="E45" s="24" t="s">
        <v>28</v>
      </c>
      <c r="F45" s="24" t="s">
        <v>50</v>
      </c>
      <c r="G45" s="24" t="s">
        <v>29</v>
      </c>
      <c r="H45" s="24" t="s">
        <v>122</v>
      </c>
      <c r="I45" s="24" t="s">
        <v>123</v>
      </c>
    </row>
    <row r="47" spans="2:9">
      <c r="B47" s="25" t="s">
        <v>171</v>
      </c>
      <c r="C47" s="46">
        <v>8.6</v>
      </c>
      <c r="E47" s="21" t="s">
        <v>51</v>
      </c>
      <c r="F47" s="21">
        <v>2021</v>
      </c>
      <c r="G47" s="51" t="s">
        <v>58</v>
      </c>
      <c r="H47" s="21" t="s">
        <v>780</v>
      </c>
    </row>
    <row r="48" spans="2:9">
      <c r="B48" s="20" t="s">
        <v>39</v>
      </c>
      <c r="C48" s="50">
        <f>C53*$C$47</f>
        <v>2.2359999999999998</v>
      </c>
      <c r="D48" s="21" t="s">
        <v>172</v>
      </c>
    </row>
    <row r="49" spans="2:8">
      <c r="B49" s="20" t="s">
        <v>15</v>
      </c>
      <c r="C49" s="50">
        <f>C54*$C$47</f>
        <v>8.5999999999999993E-2</v>
      </c>
      <c r="D49" s="21" t="s">
        <v>172</v>
      </c>
    </row>
    <row r="50" spans="2:8">
      <c r="B50" s="20" t="s">
        <v>26</v>
      </c>
      <c r="C50" s="50">
        <f>C55*$C$47</f>
        <v>6.02</v>
      </c>
      <c r="D50" s="21" t="s">
        <v>172</v>
      </c>
    </row>
    <row r="51" spans="2:8">
      <c r="B51" s="20" t="s">
        <v>175</v>
      </c>
      <c r="C51" s="50">
        <f>C56*$C$47</f>
        <v>0.25800000000000001</v>
      </c>
      <c r="D51" s="21" t="s">
        <v>172</v>
      </c>
    </row>
    <row r="52" spans="2:8">
      <c r="B52" s="25" t="s">
        <v>171</v>
      </c>
    </row>
    <row r="53" spans="2:8">
      <c r="B53" s="20" t="s">
        <v>39</v>
      </c>
      <c r="C53" s="105">
        <v>0.26</v>
      </c>
      <c r="D53" s="21" t="s">
        <v>33</v>
      </c>
      <c r="E53" s="21" t="s">
        <v>51</v>
      </c>
      <c r="F53" s="21">
        <v>2021</v>
      </c>
      <c r="G53" s="51" t="s">
        <v>58</v>
      </c>
      <c r="H53" s="21" t="s">
        <v>780</v>
      </c>
    </row>
    <row r="54" spans="2:8">
      <c r="B54" s="20" t="s">
        <v>15</v>
      </c>
      <c r="C54" s="105">
        <v>0.01</v>
      </c>
      <c r="D54" s="21" t="s">
        <v>33</v>
      </c>
      <c r="E54" s="21" t="s">
        <v>51</v>
      </c>
      <c r="F54" s="21">
        <v>2021</v>
      </c>
      <c r="G54" s="51" t="s">
        <v>58</v>
      </c>
      <c r="H54" s="21" t="s">
        <v>780</v>
      </c>
    </row>
    <row r="55" spans="2:8">
      <c r="B55" s="20" t="s">
        <v>26</v>
      </c>
      <c r="C55" s="105">
        <v>0.7</v>
      </c>
      <c r="D55" s="21" t="s">
        <v>33</v>
      </c>
      <c r="E55" s="21" t="s">
        <v>51</v>
      </c>
      <c r="F55" s="21">
        <v>2021</v>
      </c>
      <c r="G55" s="51" t="s">
        <v>58</v>
      </c>
      <c r="H55" s="21" t="s">
        <v>780</v>
      </c>
    </row>
    <row r="56" spans="2:8">
      <c r="B56" s="20" t="s">
        <v>175</v>
      </c>
      <c r="C56" s="105">
        <v>0.03</v>
      </c>
      <c r="D56" s="21" t="s">
        <v>33</v>
      </c>
      <c r="E56" s="21" t="s">
        <v>51</v>
      </c>
      <c r="F56" s="21">
        <v>2021</v>
      </c>
      <c r="G56" s="51" t="s">
        <v>58</v>
      </c>
      <c r="H56" s="21" t="s">
        <v>780</v>
      </c>
    </row>
    <row r="57" spans="2:8">
      <c r="B57" s="20"/>
      <c r="C57" s="20"/>
      <c r="G57" s="51"/>
    </row>
    <row r="58" spans="2:8">
      <c r="B58" t="s">
        <v>176</v>
      </c>
      <c r="C58" s="111" t="s">
        <v>42</v>
      </c>
      <c r="D58" s="21" t="s">
        <v>524</v>
      </c>
      <c r="E58" s="27" t="s">
        <v>52</v>
      </c>
      <c r="F58" s="27" t="s">
        <v>52</v>
      </c>
      <c r="G58" s="27" t="s">
        <v>52</v>
      </c>
      <c r="H58" s="27" t="s">
        <v>52</v>
      </c>
    </row>
    <row r="59" spans="2:8">
      <c r="B59" s="20"/>
      <c r="C59" s="20"/>
    </row>
    <row r="60" spans="2:8">
      <c r="B60" s="194" t="s">
        <v>781</v>
      </c>
      <c r="C60" s="20"/>
    </row>
    <row r="61" spans="2:8">
      <c r="B61" s="20" t="s">
        <v>40</v>
      </c>
      <c r="C61" s="198">
        <v>0.69</v>
      </c>
      <c r="E61" s="21" t="s">
        <v>185</v>
      </c>
      <c r="F61" s="21">
        <v>2022</v>
      </c>
      <c r="G61" s="51" t="s">
        <v>782</v>
      </c>
    </row>
    <row r="62" spans="2:8">
      <c r="B62" s="20" t="s">
        <v>188</v>
      </c>
      <c r="C62" s="198">
        <v>0.27</v>
      </c>
      <c r="E62" s="21" t="s">
        <v>185</v>
      </c>
      <c r="F62" s="21">
        <v>2022</v>
      </c>
      <c r="G62" s="51" t="s">
        <v>782</v>
      </c>
    </row>
    <row r="63" spans="2:8">
      <c r="B63" s="20" t="s">
        <v>32</v>
      </c>
      <c r="C63" s="198">
        <v>0.04</v>
      </c>
      <c r="E63" s="21" t="s">
        <v>185</v>
      </c>
      <c r="F63" s="21">
        <v>2022</v>
      </c>
      <c r="G63" s="51" t="s">
        <v>782</v>
      </c>
    </row>
    <row r="64" spans="2:8">
      <c r="B64" s="20"/>
      <c r="C64" s="20"/>
    </row>
    <row r="65" spans="2:11">
      <c r="B65" s="53" t="s">
        <v>196</v>
      </c>
      <c r="C65" s="53"/>
      <c r="D65" s="35"/>
      <c r="E65" s="35"/>
      <c r="F65" s="35"/>
      <c r="G65" s="35"/>
      <c r="H65" s="35"/>
      <c r="I65" s="35"/>
    </row>
    <row r="66" spans="2:11">
      <c r="B66" s="24" t="s">
        <v>47</v>
      </c>
      <c r="C66" s="24" t="s">
        <v>48</v>
      </c>
      <c r="D66" s="24" t="s">
        <v>49</v>
      </c>
      <c r="E66" s="24" t="s">
        <v>28</v>
      </c>
      <c r="F66" s="24" t="s">
        <v>50</v>
      </c>
      <c r="G66" s="24" t="s">
        <v>29</v>
      </c>
      <c r="H66" s="24" t="s">
        <v>122</v>
      </c>
      <c r="I66" s="24" t="s">
        <v>123</v>
      </c>
    </row>
    <row r="68" spans="2:11">
      <c r="B68" s="25" t="s">
        <v>784</v>
      </c>
      <c r="C68" s="93">
        <v>185</v>
      </c>
      <c r="D68" s="21" t="s">
        <v>785</v>
      </c>
      <c r="E68" s="21" t="s">
        <v>51</v>
      </c>
      <c r="F68" s="21">
        <v>2021</v>
      </c>
      <c r="G68" s="51" t="s">
        <v>58</v>
      </c>
      <c r="H68" s="21" t="s">
        <v>786</v>
      </c>
    </row>
    <row r="69" spans="2:11">
      <c r="B69" s="25" t="s">
        <v>787</v>
      </c>
      <c r="C69" s="93">
        <v>253</v>
      </c>
      <c r="D69" s="21" t="s">
        <v>785</v>
      </c>
      <c r="E69" s="21" t="s">
        <v>51</v>
      </c>
      <c r="F69" s="21">
        <v>2021</v>
      </c>
      <c r="G69" s="51" t="s">
        <v>58</v>
      </c>
      <c r="H69" s="21" t="s">
        <v>788</v>
      </c>
      <c r="I69" s="21" t="s">
        <v>789</v>
      </c>
    </row>
    <row r="70" spans="2:11">
      <c r="B70" s="25" t="s">
        <v>790</v>
      </c>
      <c r="C70" s="93">
        <v>580</v>
      </c>
      <c r="D70" s="21" t="s">
        <v>785</v>
      </c>
      <c r="E70" s="21" t="s">
        <v>51</v>
      </c>
      <c r="F70" s="21">
        <v>2022</v>
      </c>
      <c r="G70" s="51" t="s">
        <v>782</v>
      </c>
      <c r="H70" s="21">
        <v>30</v>
      </c>
    </row>
    <row r="71" spans="2:11">
      <c r="B71" s="25"/>
      <c r="C71" s="25"/>
      <c r="G71" s="51"/>
    </row>
    <row r="72" spans="2:11">
      <c r="B72" s="25" t="s">
        <v>791</v>
      </c>
      <c r="C72" s="44">
        <v>0.7</v>
      </c>
      <c r="D72" s="21" t="s">
        <v>33</v>
      </c>
      <c r="E72" s="21" t="s">
        <v>51</v>
      </c>
      <c r="F72" s="21">
        <v>2021</v>
      </c>
      <c r="G72" s="51" t="s">
        <v>58</v>
      </c>
      <c r="H72" s="21" t="s">
        <v>792</v>
      </c>
    </row>
    <row r="73" spans="2:11">
      <c r="B73" s="25" t="s">
        <v>793</v>
      </c>
      <c r="C73" s="44">
        <v>0.3</v>
      </c>
      <c r="D73" s="21" t="s">
        <v>33</v>
      </c>
      <c r="E73" s="21" t="s">
        <v>51</v>
      </c>
      <c r="F73" s="21">
        <v>2021</v>
      </c>
      <c r="G73" s="51" t="s">
        <v>58</v>
      </c>
      <c r="H73" s="21" t="s">
        <v>792</v>
      </c>
    </row>
    <row r="75" spans="2:11" s="18" customFormat="1">
      <c r="B75" s="53" t="s">
        <v>370</v>
      </c>
      <c r="C75" s="53"/>
      <c r="D75" s="35"/>
      <c r="E75" s="35"/>
      <c r="F75" s="35"/>
      <c r="G75" s="35"/>
      <c r="H75" s="35"/>
      <c r="I75" s="35"/>
    </row>
    <row r="78" spans="2:11">
      <c r="H78" s="144"/>
      <c r="I78" s="162"/>
      <c r="J78" s="131"/>
      <c r="K78" s="144"/>
    </row>
    <row r="79" spans="2:11">
      <c r="H79" s="144"/>
      <c r="I79" s="181"/>
      <c r="J79" s="181"/>
      <c r="K79" s="144"/>
    </row>
    <row r="80" spans="2:11">
      <c r="H80" s="144"/>
      <c r="I80" s="182"/>
      <c r="J80" s="183"/>
      <c r="K80" s="144"/>
    </row>
    <row r="81" spans="8:11">
      <c r="H81" s="144"/>
      <c r="I81" s="183"/>
      <c r="J81" s="183"/>
      <c r="K81" s="144"/>
    </row>
    <row r="82" spans="8:11">
      <c r="H82" s="131"/>
      <c r="I82" s="131"/>
      <c r="J82" s="144"/>
      <c r="K82" s="144"/>
    </row>
  </sheetData>
  <phoneticPr fontId="16" type="noConversion"/>
  <hyperlinks>
    <hyperlink ref="G11" r:id="rId1" xr:uid="{1964299D-78D7-45CB-A362-746AD0BD8AA8}"/>
    <hyperlink ref="G12" r:id="rId2" xr:uid="{8821C496-BCF4-4D83-B827-3581F368353F}"/>
    <hyperlink ref="G53" r:id="rId3" xr:uid="{3A99064F-377E-4DE0-BA8A-823667EDB497}"/>
    <hyperlink ref="G54" r:id="rId4" xr:uid="{9E62453F-E5EF-4E1F-9294-729188957FD0}"/>
    <hyperlink ref="G55" r:id="rId5" xr:uid="{6A0B0AC8-8410-4084-AECE-5BA70833885B}"/>
    <hyperlink ref="G56" r:id="rId6" xr:uid="{3452187D-55BA-49E6-93C2-DE20B3E7F3A8}"/>
    <hyperlink ref="G68" r:id="rId7" xr:uid="{9478F227-DC11-41A8-8DD2-FC86E56628BF}"/>
    <hyperlink ref="G69" r:id="rId8" xr:uid="{B80B944F-E2DE-469C-A486-62B9570AF5A4}"/>
    <hyperlink ref="G72" r:id="rId9" xr:uid="{A436B826-6641-4A77-848D-269B3994359A}"/>
    <hyperlink ref="G73" r:id="rId10" xr:uid="{4EAE8BDC-D39B-4740-A867-49E9A1504929}"/>
    <hyperlink ref="G47" r:id="rId11" xr:uid="{CD61A0AE-68E9-4A22-8653-182443E92C5E}"/>
    <hyperlink ref="G10" r:id="rId12" xr:uid="{10AD7E39-8650-4BB1-9CD8-3078FEB9E38B}"/>
    <hyperlink ref="G13" r:id="rId13" location="data/GY" xr:uid="{3F291D55-50B2-4E70-A113-E0195CDFEC07}"/>
    <hyperlink ref="G23" r:id="rId14" xr:uid="{7E22F627-77E4-4891-AC29-7CAA2CB4FB74}"/>
    <hyperlink ref="G70" r:id="rId15" xr:uid="{44754374-2B9C-4CB5-887C-6101EDC0A72D}"/>
    <hyperlink ref="G31" r:id="rId16" xr:uid="{C5452D12-FAC4-4FE6-A39E-3982B788B18D}"/>
    <hyperlink ref="G32" r:id="rId17" xr:uid="{D1B380B1-D879-434C-A39A-5C09A91C7119}"/>
    <hyperlink ref="G34" r:id="rId18" xr:uid="{A3006664-7AF9-4440-BC7C-2B9BA0E14898}"/>
    <hyperlink ref="G39:G41" r:id="rId19" display="https://iea.blob.core.windows.net/assets/6ee41bb9-8e81-4b64-8701-2acc064ff6e4/AmmoniaTechnologyRoadmap.pdf" xr:uid="{CC8A36CD-F842-489C-AC7B-3D6FF72D33C2}"/>
    <hyperlink ref="G61" r:id="rId20" xr:uid="{3864A812-8695-4527-B353-CDCF9A509608}"/>
    <hyperlink ref="G62" r:id="rId21" xr:uid="{CC082513-F65E-4F3E-ADA4-8D9B8B79D11E}"/>
    <hyperlink ref="G63" r:id="rId22" xr:uid="{15D0A1A7-3D4A-44BD-98E6-73CF95E5F899}"/>
  </hyperlinks>
  <pageMargins left="0.7" right="0.7" top="0.75" bottom="0.75" header="0.3" footer="0.3"/>
  <pageSetup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6A25-F568-456E-ACBB-BC1B762AF520}">
  <sheetPr codeName="Sheet13">
    <tabColor rgb="FF0070C0"/>
  </sheetPr>
  <dimension ref="A1:I120"/>
  <sheetViews>
    <sheetView showGridLines="0" topLeftCell="A72" zoomScale="70" zoomScaleNormal="70" workbookViewId="0">
      <selection activeCell="D114" sqref="D114:D118"/>
    </sheetView>
  </sheetViews>
  <sheetFormatPr baseColWidth="10" defaultColWidth="8.83203125" defaultRowHeight="15"/>
  <cols>
    <col min="2" max="2" width="58.83203125" style="21" customWidth="1"/>
    <col min="3" max="3" width="19.83203125" style="21" customWidth="1"/>
    <col min="4" max="4" width="15.1640625" style="21" customWidth="1"/>
    <col min="5" max="5" width="11" style="21" customWidth="1"/>
    <col min="6" max="6" width="11.1640625" style="21" customWidth="1"/>
    <col min="7" max="7" width="38.1640625" style="21" customWidth="1"/>
    <col min="8" max="8" width="22.5" style="21" customWidth="1"/>
    <col min="9" max="9" width="20.83203125" style="21" customWidth="1"/>
  </cols>
  <sheetData>
    <row r="1" spans="1:9" s="1" customFormat="1">
      <c r="B1" s="2"/>
      <c r="C1" s="2"/>
      <c r="D1" s="2"/>
      <c r="E1" s="2"/>
      <c r="F1" s="2"/>
      <c r="G1" s="2"/>
      <c r="H1" s="2"/>
      <c r="I1" s="2"/>
    </row>
    <row r="2" spans="1:9" s="1" customFormat="1" ht="15" customHeight="1">
      <c r="B2" s="19" t="s">
        <v>371</v>
      </c>
      <c r="C2" s="19"/>
      <c r="D2" s="2"/>
      <c r="E2" s="2"/>
      <c r="F2" s="2"/>
      <c r="G2" s="2"/>
      <c r="H2" s="2"/>
      <c r="I2" s="2"/>
    </row>
    <row r="3" spans="1:9" s="1" customFormat="1" ht="15" customHeight="1">
      <c r="B3" s="19" t="s">
        <v>794</v>
      </c>
      <c r="C3" s="19"/>
      <c r="D3" s="2"/>
      <c r="E3" s="2"/>
      <c r="F3" s="2"/>
      <c r="G3" s="2"/>
      <c r="H3" s="2"/>
      <c r="I3" s="2"/>
    </row>
    <row r="4" spans="1:9" s="4" customFormat="1" ht="15" customHeight="1" thickBot="1">
      <c r="B4" s="5"/>
      <c r="C4" s="5"/>
      <c r="D4" s="5"/>
      <c r="E4" s="5"/>
      <c r="F4" s="5"/>
      <c r="G4" s="5"/>
      <c r="H4" s="5"/>
      <c r="I4" s="5"/>
    </row>
    <row r="6" spans="1:9" ht="14.25" customHeight="1">
      <c r="B6" s="38"/>
      <c r="C6" s="38"/>
    </row>
    <row r="7" spans="1:9">
      <c r="A7" s="9">
        <v>1</v>
      </c>
      <c r="B7" s="53" t="s">
        <v>71</v>
      </c>
      <c r="C7" s="53"/>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c r="C10" s="91"/>
    </row>
    <row r="11" spans="1:9">
      <c r="B11" s="20" t="s">
        <v>94</v>
      </c>
      <c r="C11" s="93" t="s">
        <v>795</v>
      </c>
      <c r="D11" s="27" t="s">
        <v>52</v>
      </c>
      <c r="E11" s="21" t="s">
        <v>51</v>
      </c>
      <c r="F11" s="21">
        <v>2021</v>
      </c>
      <c r="G11" s="51" t="s">
        <v>58</v>
      </c>
      <c r="H11" s="21" t="s">
        <v>796</v>
      </c>
    </row>
    <row r="12" spans="1:9">
      <c r="B12" s="20" t="s">
        <v>95</v>
      </c>
      <c r="C12" s="234" t="s">
        <v>206</v>
      </c>
      <c r="D12" s="27" t="s">
        <v>52</v>
      </c>
      <c r="E12" s="21" t="s">
        <v>51</v>
      </c>
      <c r="F12" s="21">
        <v>2021</v>
      </c>
      <c r="G12" s="51" t="s">
        <v>58</v>
      </c>
      <c r="H12" s="21" t="s">
        <v>796</v>
      </c>
    </row>
    <row r="13" spans="1:9">
      <c r="B13" s="20" t="s">
        <v>96</v>
      </c>
      <c r="C13" s="234"/>
      <c r="D13" s="27"/>
      <c r="G13" s="51"/>
    </row>
    <row r="14" spans="1:9">
      <c r="B14" s="20" t="s">
        <v>97</v>
      </c>
      <c r="C14" s="93" t="s">
        <v>797</v>
      </c>
      <c r="D14" s="27" t="s">
        <v>52</v>
      </c>
      <c r="E14" s="21" t="s">
        <v>51</v>
      </c>
      <c r="F14" s="21">
        <v>2021</v>
      </c>
      <c r="G14" s="51" t="s">
        <v>58</v>
      </c>
      <c r="H14" s="21" t="s">
        <v>796</v>
      </c>
    </row>
    <row r="15" spans="1:9">
      <c r="B15" s="20" t="s">
        <v>98</v>
      </c>
      <c r="C15" s="93" t="s">
        <v>206</v>
      </c>
      <c r="D15" s="27" t="s">
        <v>52</v>
      </c>
      <c r="E15" s="21" t="s">
        <v>51</v>
      </c>
      <c r="F15" s="21">
        <v>2021</v>
      </c>
      <c r="G15" s="51" t="s">
        <v>58</v>
      </c>
      <c r="H15" s="21" t="s">
        <v>796</v>
      </c>
    </row>
    <row r="16" spans="1:9">
      <c r="B16" s="20"/>
      <c r="D16" s="27"/>
    </row>
    <row r="17" spans="2:9">
      <c r="B17" s="25" t="s">
        <v>799</v>
      </c>
      <c r="C17" s="25"/>
    </row>
    <row r="18" spans="2:9">
      <c r="B18" s="20" t="s">
        <v>94</v>
      </c>
      <c r="C18" s="21" t="s">
        <v>800</v>
      </c>
      <c r="D18" s="21" t="s">
        <v>33</v>
      </c>
      <c r="E18" s="21" t="s">
        <v>51</v>
      </c>
      <c r="F18" s="21">
        <v>2021</v>
      </c>
      <c r="G18" s="51" t="s">
        <v>58</v>
      </c>
      <c r="H18" s="21" t="s">
        <v>777</v>
      </c>
    </row>
    <row r="19" spans="2:9" ht="14.5" customHeight="1">
      <c r="B19" s="20" t="s">
        <v>95</v>
      </c>
      <c r="C19" s="233" t="s">
        <v>801</v>
      </c>
      <c r="D19" s="21" t="s">
        <v>33</v>
      </c>
      <c r="E19" s="21" t="s">
        <v>51</v>
      </c>
      <c r="F19" s="21">
        <v>2021</v>
      </c>
      <c r="G19" s="51" t="s">
        <v>58</v>
      </c>
      <c r="H19" s="21" t="s">
        <v>777</v>
      </c>
    </row>
    <row r="20" spans="2:9">
      <c r="B20" s="20" t="s">
        <v>96</v>
      </c>
      <c r="C20" s="233"/>
      <c r="D20" s="21" t="s">
        <v>33</v>
      </c>
      <c r="E20" s="21" t="s">
        <v>51</v>
      </c>
      <c r="F20" s="21">
        <v>2021</v>
      </c>
      <c r="G20" s="51" t="s">
        <v>58</v>
      </c>
      <c r="H20" s="21" t="s">
        <v>777</v>
      </c>
    </row>
    <row r="21" spans="2:9">
      <c r="B21" s="20" t="s">
        <v>97</v>
      </c>
      <c r="C21" s="21" t="s">
        <v>802</v>
      </c>
      <c r="D21" s="21" t="s">
        <v>33</v>
      </c>
      <c r="E21" s="21" t="s">
        <v>51</v>
      </c>
      <c r="F21" s="21">
        <v>2021</v>
      </c>
      <c r="G21" s="51" t="s">
        <v>58</v>
      </c>
      <c r="H21" s="21" t="s">
        <v>777</v>
      </c>
    </row>
    <row r="22" spans="2:9">
      <c r="B22" s="20" t="s">
        <v>98</v>
      </c>
      <c r="C22" s="21" t="s">
        <v>803</v>
      </c>
      <c r="D22" s="21" t="s">
        <v>33</v>
      </c>
      <c r="E22" s="21" t="s">
        <v>51</v>
      </c>
      <c r="F22" s="21">
        <v>2021</v>
      </c>
      <c r="G22" s="51" t="s">
        <v>58</v>
      </c>
      <c r="H22" s="21" t="s">
        <v>777</v>
      </c>
    </row>
    <row r="23" spans="2:9">
      <c r="B23" s="20"/>
      <c r="G23" s="51"/>
    </row>
    <row r="24" spans="2:9">
      <c r="B24" s="25" t="s">
        <v>804</v>
      </c>
      <c r="C24" s="25"/>
      <c r="G24" s="51"/>
    </row>
    <row r="25" spans="2:9">
      <c r="B25" s="20" t="s">
        <v>94</v>
      </c>
      <c r="C25" s="96">
        <v>0.4</v>
      </c>
      <c r="D25" s="21" t="s">
        <v>33</v>
      </c>
      <c r="E25" s="21" t="s">
        <v>285</v>
      </c>
      <c r="F25" s="21">
        <v>2023</v>
      </c>
      <c r="G25" s="27" t="s">
        <v>52</v>
      </c>
      <c r="H25" s="27" t="s">
        <v>52</v>
      </c>
      <c r="I25" s="27" t="s">
        <v>770</v>
      </c>
    </row>
    <row r="26" spans="2:9">
      <c r="B26" s="20" t="s">
        <v>95</v>
      </c>
      <c r="C26" s="96">
        <v>1.2</v>
      </c>
      <c r="D26" s="21" t="s">
        <v>33</v>
      </c>
      <c r="E26" s="21" t="s">
        <v>285</v>
      </c>
      <c r="F26" s="21">
        <v>2023</v>
      </c>
      <c r="G26" s="27" t="s">
        <v>52</v>
      </c>
      <c r="H26" s="27" t="s">
        <v>52</v>
      </c>
      <c r="I26" s="27" t="s">
        <v>770</v>
      </c>
    </row>
    <row r="27" spans="2:9">
      <c r="B27" s="20" t="s">
        <v>96</v>
      </c>
      <c r="C27" s="21" t="s">
        <v>805</v>
      </c>
      <c r="D27" s="21" t="s">
        <v>33</v>
      </c>
      <c r="E27" s="21" t="s">
        <v>51</v>
      </c>
      <c r="F27" s="21">
        <v>2021</v>
      </c>
      <c r="G27" s="51" t="s">
        <v>58</v>
      </c>
      <c r="H27" s="21">
        <v>40</v>
      </c>
    </row>
    <row r="28" spans="2:9">
      <c r="B28" s="20" t="s">
        <v>97</v>
      </c>
      <c r="C28" s="21" t="s">
        <v>806</v>
      </c>
      <c r="D28" s="21" t="s">
        <v>33</v>
      </c>
      <c r="E28" s="21" t="s">
        <v>51</v>
      </c>
      <c r="F28" s="21">
        <v>2021</v>
      </c>
      <c r="G28" s="51" t="s">
        <v>58</v>
      </c>
      <c r="H28" s="21">
        <v>40</v>
      </c>
    </row>
    <row r="29" spans="2:9">
      <c r="B29" s="20" t="s">
        <v>98</v>
      </c>
      <c r="C29" s="21" t="s">
        <v>807</v>
      </c>
      <c r="D29" s="21" t="s">
        <v>33</v>
      </c>
      <c r="E29" s="21" t="s">
        <v>51</v>
      </c>
      <c r="F29" s="21">
        <v>2021</v>
      </c>
      <c r="G29" s="51" t="s">
        <v>58</v>
      </c>
      <c r="H29" s="21">
        <v>40</v>
      </c>
    </row>
    <row r="30" spans="2:9">
      <c r="B30" s="25" t="s">
        <v>599</v>
      </c>
      <c r="C30" s="115" t="s">
        <v>808</v>
      </c>
    </row>
    <row r="31" spans="2:9">
      <c r="B31" s="20"/>
      <c r="C31" s="20"/>
      <c r="G31" s="51"/>
    </row>
    <row r="32" spans="2:9">
      <c r="B32" s="25" t="s">
        <v>809</v>
      </c>
      <c r="C32" s="25"/>
      <c r="G32" s="51"/>
    </row>
    <row r="33" spans="1:9">
      <c r="B33" s="20" t="s">
        <v>94</v>
      </c>
      <c r="C33" s="21">
        <v>37</v>
      </c>
      <c r="D33" s="27" t="s">
        <v>61</v>
      </c>
      <c r="E33" s="21" t="s">
        <v>285</v>
      </c>
      <c r="F33" s="21">
        <v>2023</v>
      </c>
      <c r="G33" s="27" t="s">
        <v>52</v>
      </c>
      <c r="H33" s="27" t="s">
        <v>52</v>
      </c>
      <c r="I33" s="27" t="s">
        <v>286</v>
      </c>
    </row>
    <row r="34" spans="1:9">
      <c r="B34" s="20" t="s">
        <v>95</v>
      </c>
      <c r="C34" s="234">
        <v>182</v>
      </c>
      <c r="D34" s="27" t="s">
        <v>61</v>
      </c>
      <c r="E34" s="21" t="s">
        <v>285</v>
      </c>
      <c r="F34" s="21">
        <v>2023</v>
      </c>
      <c r="G34" s="27" t="s">
        <v>52</v>
      </c>
      <c r="H34" s="27" t="s">
        <v>52</v>
      </c>
      <c r="I34" s="27" t="s">
        <v>286</v>
      </c>
    </row>
    <row r="35" spans="1:9">
      <c r="B35" s="20" t="s">
        <v>96</v>
      </c>
      <c r="C35" s="234"/>
      <c r="D35" s="27" t="s">
        <v>61</v>
      </c>
      <c r="E35" s="21" t="s">
        <v>51</v>
      </c>
      <c r="F35" s="21">
        <v>2021</v>
      </c>
      <c r="G35" s="51" t="s">
        <v>58</v>
      </c>
    </row>
    <row r="36" spans="1:9">
      <c r="B36" s="20" t="s">
        <v>97</v>
      </c>
      <c r="C36" s="38" t="s">
        <v>42</v>
      </c>
      <c r="D36" s="27"/>
      <c r="G36" s="51"/>
    </row>
    <row r="37" spans="1:9">
      <c r="B37" s="20" t="s">
        <v>98</v>
      </c>
      <c r="C37" s="21">
        <v>0.3</v>
      </c>
      <c r="D37" s="27" t="s">
        <v>61</v>
      </c>
      <c r="E37" s="21" t="s">
        <v>51</v>
      </c>
      <c r="F37" s="21">
        <v>2021</v>
      </c>
      <c r="G37" s="51" t="s">
        <v>58</v>
      </c>
      <c r="H37" s="21">
        <v>39</v>
      </c>
    </row>
    <row r="38" spans="1:9">
      <c r="B38" s="20"/>
      <c r="C38" s="20"/>
      <c r="D38" s="27"/>
      <c r="G38" s="51"/>
    </row>
    <row r="39" spans="1:9">
      <c r="B39" s="25" t="s">
        <v>236</v>
      </c>
      <c r="C39" s="25"/>
      <c r="G39" s="51"/>
    </row>
    <row r="40" spans="1:9">
      <c r="B40" s="20" t="s">
        <v>94</v>
      </c>
      <c r="C40" s="96">
        <v>0.01</v>
      </c>
      <c r="D40" s="27" t="s">
        <v>52</v>
      </c>
      <c r="E40" s="27" t="s">
        <v>52</v>
      </c>
      <c r="F40" s="27" t="s">
        <v>52</v>
      </c>
      <c r="G40" s="27" t="s">
        <v>52</v>
      </c>
      <c r="H40" s="27" t="s">
        <v>52</v>
      </c>
      <c r="I40" s="21" t="s">
        <v>587</v>
      </c>
    </row>
    <row r="41" spans="1:9">
      <c r="B41" s="20" t="s">
        <v>95</v>
      </c>
      <c r="C41" s="233" t="s">
        <v>439</v>
      </c>
      <c r="D41" s="27" t="s">
        <v>52</v>
      </c>
      <c r="E41" s="27" t="s">
        <v>52</v>
      </c>
      <c r="F41" s="27" t="s">
        <v>52</v>
      </c>
      <c r="G41" s="27" t="s">
        <v>52</v>
      </c>
      <c r="H41" s="27" t="s">
        <v>52</v>
      </c>
      <c r="I41" s="21" t="s">
        <v>587</v>
      </c>
    </row>
    <row r="42" spans="1:9">
      <c r="B42" s="20" t="s">
        <v>96</v>
      </c>
      <c r="C42" s="233"/>
      <c r="D42" s="27" t="s">
        <v>52</v>
      </c>
      <c r="E42" s="27" t="s">
        <v>52</v>
      </c>
      <c r="F42" s="27" t="s">
        <v>52</v>
      </c>
      <c r="G42" s="27" t="s">
        <v>52</v>
      </c>
      <c r="H42" s="27" t="s">
        <v>52</v>
      </c>
    </row>
    <row r="43" spans="1:9">
      <c r="B43" s="20" t="s">
        <v>97</v>
      </c>
      <c r="C43" s="21" t="s">
        <v>439</v>
      </c>
      <c r="D43" s="27" t="s">
        <v>52</v>
      </c>
      <c r="E43" s="27" t="s">
        <v>52</v>
      </c>
      <c r="F43" s="27" t="s">
        <v>52</v>
      </c>
      <c r="G43" s="27" t="s">
        <v>52</v>
      </c>
      <c r="H43" s="27" t="s">
        <v>52</v>
      </c>
      <c r="I43" s="21" t="s">
        <v>587</v>
      </c>
    </row>
    <row r="44" spans="1:9">
      <c r="B44" s="20" t="s">
        <v>98</v>
      </c>
      <c r="C44" s="21" t="s">
        <v>439</v>
      </c>
      <c r="D44" s="27" t="s">
        <v>52</v>
      </c>
      <c r="E44" s="27" t="s">
        <v>52</v>
      </c>
      <c r="F44" s="27" t="s">
        <v>52</v>
      </c>
      <c r="G44" s="27" t="s">
        <v>52</v>
      </c>
      <c r="H44" s="27" t="s">
        <v>52</v>
      </c>
      <c r="I44" s="21" t="s">
        <v>587</v>
      </c>
    </row>
    <row r="46" spans="1:9">
      <c r="A46" s="9">
        <v>2</v>
      </c>
      <c r="B46" s="53" t="s">
        <v>82</v>
      </c>
      <c r="C46" s="53"/>
      <c r="D46" s="35"/>
      <c r="E46" s="35"/>
      <c r="F46" s="35"/>
      <c r="G46" s="35"/>
      <c r="H46" s="35"/>
      <c r="I46" s="35"/>
    </row>
    <row r="47" spans="1:9">
      <c r="B47" s="24" t="s">
        <v>47</v>
      </c>
      <c r="C47" s="24" t="s">
        <v>48</v>
      </c>
      <c r="D47" s="24" t="s">
        <v>49</v>
      </c>
      <c r="E47" s="24" t="s">
        <v>28</v>
      </c>
      <c r="F47" s="24" t="s">
        <v>50</v>
      </c>
      <c r="G47" s="24" t="s">
        <v>29</v>
      </c>
      <c r="H47" s="24" t="s">
        <v>122</v>
      </c>
      <c r="I47" s="24" t="s">
        <v>123</v>
      </c>
    </row>
    <row r="49" spans="2:9">
      <c r="B49" s="25" t="s">
        <v>240</v>
      </c>
      <c r="C49" s="21">
        <v>580</v>
      </c>
      <c r="D49" s="21" t="s">
        <v>61</v>
      </c>
      <c r="E49" s="21" t="s">
        <v>185</v>
      </c>
      <c r="F49" s="21">
        <v>2022</v>
      </c>
      <c r="G49" s="51" t="s">
        <v>782</v>
      </c>
      <c r="H49" s="21">
        <v>12</v>
      </c>
    </row>
    <row r="50" spans="2:9">
      <c r="B50" s="21" t="s">
        <v>811</v>
      </c>
      <c r="C50" s="69">
        <v>0.27</v>
      </c>
      <c r="D50" s="21" t="s">
        <v>33</v>
      </c>
      <c r="E50" s="21" t="s">
        <v>185</v>
      </c>
      <c r="F50" s="21">
        <v>2022</v>
      </c>
      <c r="G50" s="51" t="s">
        <v>782</v>
      </c>
      <c r="H50" s="21">
        <v>12</v>
      </c>
    </row>
    <row r="51" spans="2:9">
      <c r="B51" s="21" t="s">
        <v>812</v>
      </c>
      <c r="C51" s="69">
        <v>0.69</v>
      </c>
      <c r="D51" s="21" t="s">
        <v>33</v>
      </c>
      <c r="E51" s="21" t="s">
        <v>185</v>
      </c>
      <c r="F51" s="21">
        <v>2022</v>
      </c>
      <c r="G51" s="51" t="s">
        <v>782</v>
      </c>
      <c r="H51" s="21">
        <v>12</v>
      </c>
    </row>
    <row r="52" spans="2:9">
      <c r="B52" s="21" t="s">
        <v>97</v>
      </c>
      <c r="C52" s="45">
        <v>0.01</v>
      </c>
      <c r="D52" s="21" t="s">
        <v>33</v>
      </c>
      <c r="E52" s="21" t="s">
        <v>185</v>
      </c>
      <c r="F52" s="21">
        <v>2022</v>
      </c>
      <c r="G52" s="51" t="s">
        <v>782</v>
      </c>
      <c r="H52" s="21">
        <v>12</v>
      </c>
    </row>
    <row r="53" spans="2:9" hidden="1">
      <c r="B53" s="20" t="s">
        <v>97</v>
      </c>
      <c r="D53" s="21" t="s">
        <v>813</v>
      </c>
      <c r="E53" s="21" t="s">
        <v>51</v>
      </c>
      <c r="F53" s="21">
        <v>2021</v>
      </c>
      <c r="G53" s="51" t="s">
        <v>58</v>
      </c>
      <c r="H53" s="21">
        <v>91</v>
      </c>
    </row>
    <row r="54" spans="2:9">
      <c r="B54" s="21" t="s">
        <v>98</v>
      </c>
      <c r="C54" s="45">
        <v>0.01</v>
      </c>
      <c r="D54" s="21" t="s">
        <v>33</v>
      </c>
      <c r="E54" s="21" t="s">
        <v>185</v>
      </c>
      <c r="F54" s="21">
        <v>2022</v>
      </c>
      <c r="G54" s="51" t="s">
        <v>782</v>
      </c>
      <c r="H54" s="21">
        <v>12</v>
      </c>
    </row>
    <row r="55" spans="2:9" hidden="1">
      <c r="B55" s="20" t="s">
        <v>98</v>
      </c>
      <c r="D55" s="21" t="s">
        <v>813</v>
      </c>
      <c r="E55" s="21" t="s">
        <v>51</v>
      </c>
      <c r="F55" s="21">
        <v>2021</v>
      </c>
      <c r="G55" s="51" t="s">
        <v>58</v>
      </c>
      <c r="H55" s="21">
        <v>91</v>
      </c>
    </row>
    <row r="56" spans="2:9">
      <c r="B56" s="20" t="s">
        <v>32</v>
      </c>
      <c r="C56" s="44">
        <v>0.03</v>
      </c>
      <c r="G56" s="51"/>
    </row>
    <row r="57" spans="2:9">
      <c r="B57" s="20"/>
      <c r="C57" s="20"/>
    </row>
    <row r="58" spans="2:9">
      <c r="B58" s="25" t="s">
        <v>254</v>
      </c>
      <c r="C58" s="25"/>
    </row>
    <row r="59" spans="2:9">
      <c r="B59" s="21" t="s">
        <v>616</v>
      </c>
      <c r="C59" s="59">
        <v>0.32</v>
      </c>
      <c r="D59" s="21" t="s">
        <v>33</v>
      </c>
      <c r="E59" s="21" t="s">
        <v>51</v>
      </c>
      <c r="F59" s="21">
        <v>2022</v>
      </c>
      <c r="G59" s="51" t="s">
        <v>450</v>
      </c>
      <c r="H59" s="21" t="s">
        <v>265</v>
      </c>
      <c r="I59" s="21" t="s">
        <v>617</v>
      </c>
    </row>
    <row r="60" spans="2:9">
      <c r="B60" s="21" t="s">
        <v>443</v>
      </c>
      <c r="C60" s="95">
        <v>1320</v>
      </c>
      <c r="D60" s="21" t="s">
        <v>43</v>
      </c>
      <c r="E60" s="21" t="s">
        <v>185</v>
      </c>
      <c r="F60" s="21">
        <v>2022</v>
      </c>
      <c r="G60" s="51" t="s">
        <v>782</v>
      </c>
      <c r="H60" s="21">
        <v>70</v>
      </c>
      <c r="I60" s="21" t="s">
        <v>814</v>
      </c>
    </row>
    <row r="61" spans="2:9">
      <c r="B61" s="40" t="s">
        <v>258</v>
      </c>
      <c r="C61" s="46">
        <v>1.95</v>
      </c>
      <c r="D61" s="40" t="s">
        <v>259</v>
      </c>
      <c r="E61" s="21" t="s">
        <v>260</v>
      </c>
      <c r="F61" s="21">
        <v>2021</v>
      </c>
      <c r="G61" s="51" t="s">
        <v>261</v>
      </c>
      <c r="H61" s="21" t="s">
        <v>262</v>
      </c>
      <c r="I61" s="21" t="s">
        <v>263</v>
      </c>
    </row>
    <row r="62" spans="2:9">
      <c r="B62" s="29" t="s">
        <v>264</v>
      </c>
      <c r="C62" s="84" t="s">
        <v>52</v>
      </c>
      <c r="D62" s="40" t="s">
        <v>33</v>
      </c>
      <c r="E62" s="21" t="s">
        <v>51</v>
      </c>
      <c r="F62" s="21">
        <v>2022</v>
      </c>
      <c r="G62" s="51" t="s">
        <v>19</v>
      </c>
      <c r="H62" s="21" t="s">
        <v>265</v>
      </c>
      <c r="I62" s="21" t="s">
        <v>447</v>
      </c>
    </row>
    <row r="63" spans="2:9">
      <c r="B63" s="20" t="s">
        <v>266</v>
      </c>
      <c r="C63" s="21">
        <v>4.5</v>
      </c>
      <c r="D63" s="21" t="s">
        <v>267</v>
      </c>
      <c r="E63" s="21" t="s">
        <v>268</v>
      </c>
      <c r="F63" s="21">
        <v>2020</v>
      </c>
      <c r="G63" s="51" t="s">
        <v>269</v>
      </c>
      <c r="H63" s="21" t="s">
        <v>270</v>
      </c>
      <c r="I63" s="21" t="s">
        <v>271</v>
      </c>
    </row>
    <row r="64" spans="2:9" ht="16">
      <c r="B64" s="41" t="s">
        <v>815</v>
      </c>
      <c r="C64" s="95">
        <f>C61*C60</f>
        <v>2574</v>
      </c>
      <c r="D64" s="21" t="s">
        <v>267</v>
      </c>
      <c r="E64" s="27" t="s">
        <v>52</v>
      </c>
      <c r="F64" s="27" t="s">
        <v>52</v>
      </c>
      <c r="G64" s="27" t="s">
        <v>52</v>
      </c>
      <c r="H64" s="27" t="s">
        <v>52</v>
      </c>
      <c r="I64" s="27"/>
    </row>
    <row r="65" spans="1:9">
      <c r="B65" s="29"/>
      <c r="C65" s="29"/>
    </row>
    <row r="66" spans="1:9">
      <c r="B66" s="25" t="s">
        <v>288</v>
      </c>
      <c r="C66" s="25"/>
    </row>
    <row r="67" spans="1:9">
      <c r="B67" s="25" t="s">
        <v>816</v>
      </c>
      <c r="C67" s="95">
        <v>270</v>
      </c>
      <c r="D67" s="21" t="s">
        <v>44</v>
      </c>
      <c r="E67" s="21" t="s">
        <v>51</v>
      </c>
      <c r="F67" s="21">
        <v>2021</v>
      </c>
      <c r="G67" s="51" t="s">
        <v>782</v>
      </c>
      <c r="H67" s="21">
        <v>70</v>
      </c>
    </row>
    <row r="68" spans="1:9">
      <c r="B68" s="21" t="s">
        <v>1495</v>
      </c>
      <c r="C68" s="153">
        <v>175</v>
      </c>
      <c r="D68" s="21" t="s">
        <v>297</v>
      </c>
      <c r="E68" s="21" t="s">
        <v>298</v>
      </c>
      <c r="G68" s="63" t="s">
        <v>457</v>
      </c>
      <c r="I68" s="21" t="s">
        <v>460</v>
      </c>
    </row>
    <row r="69" spans="1:9">
      <c r="B69" s="21" t="s">
        <v>1503</v>
      </c>
      <c r="C69" s="131">
        <v>80</v>
      </c>
      <c r="D69" s="21" t="s">
        <v>297</v>
      </c>
      <c r="E69" s="21" t="s">
        <v>298</v>
      </c>
      <c r="G69" s="63" t="s">
        <v>457</v>
      </c>
      <c r="I69" s="21" t="s">
        <v>458</v>
      </c>
    </row>
    <row r="70" spans="1:9" ht="16">
      <c r="B70" s="41" t="s">
        <v>630</v>
      </c>
      <c r="C70" s="95">
        <f>C69*$C$67/1000</f>
        <v>21.6</v>
      </c>
      <c r="D70" s="27" t="s">
        <v>53</v>
      </c>
      <c r="E70" s="27" t="s">
        <v>52</v>
      </c>
      <c r="F70" s="27" t="s">
        <v>52</v>
      </c>
      <c r="G70" s="27" t="s">
        <v>52</v>
      </c>
    </row>
    <row r="71" spans="1:9" ht="16">
      <c r="B71" s="41" t="s">
        <v>631</v>
      </c>
      <c r="C71" s="95">
        <f>C68*$C$67/1000</f>
        <v>47.25</v>
      </c>
      <c r="D71" s="27" t="s">
        <v>53</v>
      </c>
      <c r="E71" s="27" t="s">
        <v>52</v>
      </c>
      <c r="F71" s="27" t="s">
        <v>52</v>
      </c>
      <c r="G71" s="27" t="s">
        <v>52</v>
      </c>
    </row>
    <row r="73" spans="1:9">
      <c r="A73" s="9">
        <v>3</v>
      </c>
      <c r="B73" s="53" t="s">
        <v>62</v>
      </c>
      <c r="C73" s="53"/>
      <c r="D73" s="35"/>
      <c r="E73" s="35"/>
      <c r="F73" s="35"/>
      <c r="G73" s="35"/>
      <c r="H73" s="35"/>
      <c r="I73" s="35"/>
    </row>
    <row r="74" spans="1:9">
      <c r="B74" s="24" t="s">
        <v>47</v>
      </c>
      <c r="C74" s="24" t="s">
        <v>48</v>
      </c>
      <c r="D74" s="24" t="s">
        <v>49</v>
      </c>
      <c r="E74" s="24" t="s">
        <v>28</v>
      </c>
      <c r="F74" s="24" t="s">
        <v>50</v>
      </c>
      <c r="G74" s="24" t="s">
        <v>29</v>
      </c>
      <c r="H74" s="24" t="s">
        <v>122</v>
      </c>
      <c r="I74" s="24" t="s">
        <v>123</v>
      </c>
    </row>
    <row r="76" spans="1:9">
      <c r="B76" s="21" t="s">
        <v>304</v>
      </c>
      <c r="C76" s="44">
        <v>0.01</v>
      </c>
      <c r="D76" s="21" t="s">
        <v>33</v>
      </c>
      <c r="E76" s="27" t="s">
        <v>52</v>
      </c>
      <c r="F76" s="27" t="s">
        <v>52</v>
      </c>
      <c r="G76" s="27" t="s">
        <v>52</v>
      </c>
      <c r="H76" s="27" t="s">
        <v>52</v>
      </c>
      <c r="I76" s="21" t="s">
        <v>817</v>
      </c>
    </row>
    <row r="77" spans="1:9">
      <c r="B77" s="21" t="s">
        <v>307</v>
      </c>
      <c r="C77" s="96">
        <v>0.4</v>
      </c>
      <c r="D77" s="21" t="s">
        <v>33</v>
      </c>
      <c r="E77" s="21" t="s">
        <v>285</v>
      </c>
      <c r="F77" s="21">
        <v>2023</v>
      </c>
      <c r="G77" s="27" t="s">
        <v>52</v>
      </c>
      <c r="H77" s="27" t="s">
        <v>52</v>
      </c>
      <c r="I77" s="27" t="s">
        <v>770</v>
      </c>
    </row>
    <row r="78" spans="1:9">
      <c r="B78" s="21" t="s">
        <v>307</v>
      </c>
      <c r="C78" s="96">
        <v>1.2</v>
      </c>
      <c r="D78" s="21" t="s">
        <v>33</v>
      </c>
      <c r="E78" s="21" t="s">
        <v>285</v>
      </c>
      <c r="F78" s="21">
        <v>2023</v>
      </c>
      <c r="G78" s="27" t="s">
        <v>52</v>
      </c>
      <c r="H78" s="27" t="s">
        <v>52</v>
      </c>
      <c r="I78" s="27" t="s">
        <v>770</v>
      </c>
    </row>
    <row r="79" spans="1:9">
      <c r="B79" s="21" t="s">
        <v>818</v>
      </c>
      <c r="C79" s="44">
        <f>(C77+C78)/2</f>
        <v>0.8</v>
      </c>
      <c r="G79" s="51"/>
    </row>
    <row r="81" spans="1:9">
      <c r="B81" s="21" t="s">
        <v>819</v>
      </c>
      <c r="C81" s="21">
        <v>600</v>
      </c>
      <c r="D81" s="21" t="s">
        <v>312</v>
      </c>
      <c r="E81" s="190" t="s">
        <v>178</v>
      </c>
      <c r="F81" s="21">
        <v>2021</v>
      </c>
      <c r="G81" s="51" t="s">
        <v>820</v>
      </c>
      <c r="I81" s="21" t="s">
        <v>821</v>
      </c>
    </row>
    <row r="82" spans="1:9">
      <c r="B82" s="21" t="s">
        <v>822</v>
      </c>
      <c r="C82" s="55">
        <f>'AMM-P'!C22*'AMM-R'!C81</f>
        <v>112200</v>
      </c>
      <c r="D82" s="21" t="s">
        <v>823</v>
      </c>
      <c r="E82" s="27" t="s">
        <v>52</v>
      </c>
      <c r="F82" s="27" t="s">
        <v>52</v>
      </c>
      <c r="G82" s="27" t="s">
        <v>52</v>
      </c>
      <c r="H82" s="27" t="s">
        <v>52</v>
      </c>
      <c r="I82" s="21" t="s">
        <v>824</v>
      </c>
    </row>
    <row r="83" spans="1:9">
      <c r="B83" s="21" t="s">
        <v>318</v>
      </c>
      <c r="C83" s="55">
        <f>C82*C77</f>
        <v>44880</v>
      </c>
      <c r="D83" s="21" t="s">
        <v>823</v>
      </c>
      <c r="E83" s="27" t="s">
        <v>52</v>
      </c>
      <c r="F83" s="27" t="s">
        <v>52</v>
      </c>
      <c r="G83" s="27" t="s">
        <v>52</v>
      </c>
      <c r="H83" s="27" t="s">
        <v>52</v>
      </c>
    </row>
    <row r="84" spans="1:9">
      <c r="B84" s="21" t="s">
        <v>318</v>
      </c>
      <c r="C84" s="55">
        <f>C82*C78</f>
        <v>134640</v>
      </c>
      <c r="D84" s="21" t="s">
        <v>823</v>
      </c>
      <c r="E84" s="27" t="s">
        <v>52</v>
      </c>
      <c r="F84" s="27" t="s">
        <v>52</v>
      </c>
      <c r="G84" s="27" t="s">
        <v>52</v>
      </c>
      <c r="H84" s="27" t="s">
        <v>52</v>
      </c>
    </row>
    <row r="85" spans="1:9">
      <c r="C85" s="42"/>
      <c r="E85" s="27"/>
      <c r="F85" s="27"/>
      <c r="G85" s="27"/>
      <c r="H85" s="27"/>
    </row>
    <row r="86" spans="1:9">
      <c r="B86" s="21" t="s">
        <v>825</v>
      </c>
      <c r="C86" s="42">
        <f>C81*C79</f>
        <v>480</v>
      </c>
      <c r="D86" s="21" t="s">
        <v>463</v>
      </c>
      <c r="E86" s="27"/>
      <c r="F86" s="27"/>
      <c r="G86" s="27"/>
      <c r="H86" s="27"/>
    </row>
    <row r="87" spans="1:9">
      <c r="B87" s="21" t="s">
        <v>826</v>
      </c>
      <c r="C87" s="42">
        <f>27%*700</f>
        <v>189</v>
      </c>
      <c r="D87" s="21" t="s">
        <v>463</v>
      </c>
      <c r="E87" s="27"/>
      <c r="F87" s="27"/>
      <c r="G87" s="27"/>
      <c r="H87" s="27"/>
      <c r="I87" s="21" t="s">
        <v>827</v>
      </c>
    </row>
    <row r="88" spans="1:9">
      <c r="B88" s="21" t="s">
        <v>828</v>
      </c>
      <c r="C88" s="42">
        <f>1*0.2</f>
        <v>0.2</v>
      </c>
      <c r="D88" s="21" t="s">
        <v>328</v>
      </c>
      <c r="E88" s="27"/>
      <c r="F88" s="27"/>
      <c r="G88" s="27"/>
      <c r="H88" s="27"/>
      <c r="I88" s="21" t="s">
        <v>829</v>
      </c>
    </row>
    <row r="90" spans="1:9">
      <c r="B90" s="25" t="s">
        <v>830</v>
      </c>
      <c r="C90" s="25"/>
    </row>
    <row r="91" spans="1:9">
      <c r="B91" s="20" t="s">
        <v>831</v>
      </c>
      <c r="C91" s="70" t="s">
        <v>832</v>
      </c>
      <c r="D91" s="21" t="s">
        <v>33</v>
      </c>
      <c r="E91" s="27"/>
      <c r="F91" s="27" t="s">
        <v>52</v>
      </c>
      <c r="G91" s="27" t="s">
        <v>833</v>
      </c>
      <c r="H91" s="27" t="s">
        <v>52</v>
      </c>
      <c r="I91" s="21" t="s">
        <v>834</v>
      </c>
    </row>
    <row r="92" spans="1:9">
      <c r="B92" s="20" t="s">
        <v>835</v>
      </c>
      <c r="C92" s="44" t="s">
        <v>836</v>
      </c>
      <c r="D92" s="21" t="s">
        <v>33</v>
      </c>
      <c r="E92" s="27" t="s">
        <v>52</v>
      </c>
      <c r="F92" s="27" t="s">
        <v>52</v>
      </c>
      <c r="G92" s="27" t="s">
        <v>833</v>
      </c>
      <c r="H92" s="27" t="s">
        <v>52</v>
      </c>
      <c r="I92" s="21" t="s">
        <v>837</v>
      </c>
    </row>
    <row r="93" spans="1:9">
      <c r="B93" s="20" t="s">
        <v>838</v>
      </c>
      <c r="C93" s="44" t="s">
        <v>839</v>
      </c>
      <c r="D93" s="21" t="s">
        <v>33</v>
      </c>
      <c r="E93" s="27" t="s">
        <v>840</v>
      </c>
      <c r="F93" s="27">
        <v>2016</v>
      </c>
      <c r="G93" s="27" t="s">
        <v>841</v>
      </c>
      <c r="H93" s="27"/>
      <c r="I93" s="21" t="s">
        <v>842</v>
      </c>
    </row>
    <row r="95" spans="1:9">
      <c r="A95" s="9">
        <v>4</v>
      </c>
      <c r="B95" s="53" t="s">
        <v>70</v>
      </c>
      <c r="C95" s="53"/>
      <c r="D95" s="35"/>
      <c r="E95" s="35"/>
      <c r="F95" s="35"/>
      <c r="G95" s="35"/>
      <c r="H95" s="35"/>
      <c r="I95" s="35"/>
    </row>
    <row r="96" spans="1:9">
      <c r="B96" s="24" t="s">
        <v>47</v>
      </c>
      <c r="C96" s="24" t="s">
        <v>48</v>
      </c>
      <c r="D96" s="24" t="s">
        <v>49</v>
      </c>
      <c r="E96" s="24" t="s">
        <v>28</v>
      </c>
      <c r="F96" s="24" t="s">
        <v>50</v>
      </c>
      <c r="G96" s="24" t="s">
        <v>29</v>
      </c>
      <c r="H96" s="24" t="s">
        <v>122</v>
      </c>
      <c r="I96" s="24" t="s">
        <v>123</v>
      </c>
    </row>
    <row r="98" spans="2:9">
      <c r="B98" s="25" t="s">
        <v>482</v>
      </c>
      <c r="C98" s="25"/>
    </row>
    <row r="99" spans="2:9">
      <c r="B99" s="20" t="s">
        <v>662</v>
      </c>
      <c r="C99" s="21">
        <v>1.7</v>
      </c>
      <c r="D99" s="21" t="s">
        <v>61</v>
      </c>
      <c r="E99" s="27" t="s">
        <v>52</v>
      </c>
      <c r="F99" s="27" t="s">
        <v>52</v>
      </c>
      <c r="G99" s="27" t="s">
        <v>52</v>
      </c>
      <c r="H99" s="27" t="s">
        <v>52</v>
      </c>
      <c r="I99" s="21" t="s">
        <v>843</v>
      </c>
    </row>
    <row r="100" spans="2:9">
      <c r="B100" s="25" t="s">
        <v>487</v>
      </c>
    </row>
    <row r="101" spans="2:9">
      <c r="B101" s="20" t="s">
        <v>662</v>
      </c>
      <c r="C101" s="21">
        <v>185</v>
      </c>
      <c r="D101" s="21" t="s">
        <v>61</v>
      </c>
      <c r="E101" s="27" t="s">
        <v>52</v>
      </c>
      <c r="F101" s="27" t="s">
        <v>52</v>
      </c>
      <c r="G101" s="27" t="s">
        <v>52</v>
      </c>
      <c r="H101" s="27" t="s">
        <v>52</v>
      </c>
      <c r="I101" s="21" t="s">
        <v>348</v>
      </c>
    </row>
    <row r="102" spans="2:9">
      <c r="B102" s="20"/>
      <c r="C102" s="20"/>
      <c r="D102" s="27"/>
      <c r="H102" s="27"/>
    </row>
    <row r="103" spans="2:9">
      <c r="B103" s="25" t="s">
        <v>845</v>
      </c>
      <c r="C103" s="25"/>
      <c r="D103" s="27"/>
      <c r="H103" s="27"/>
    </row>
    <row r="104" spans="2:9">
      <c r="B104" s="25" t="s">
        <v>350</v>
      </c>
      <c r="C104" s="25"/>
    </row>
    <row r="105" spans="2:9">
      <c r="B105" s="20" t="s">
        <v>846</v>
      </c>
      <c r="C105" s="21">
        <v>335</v>
      </c>
      <c r="D105" s="21" t="s">
        <v>847</v>
      </c>
      <c r="E105" s="21" t="s">
        <v>51</v>
      </c>
      <c r="F105" s="21">
        <v>2021</v>
      </c>
      <c r="G105" s="51" t="s">
        <v>58</v>
      </c>
      <c r="H105" s="21" t="s">
        <v>844</v>
      </c>
    </row>
    <row r="106" spans="2:9">
      <c r="B106" s="20" t="s">
        <v>848</v>
      </c>
      <c r="C106" s="21">
        <v>2065</v>
      </c>
      <c r="D106" s="21" t="s">
        <v>847</v>
      </c>
      <c r="E106" s="21" t="s">
        <v>51</v>
      </c>
      <c r="F106" s="21">
        <v>2021</v>
      </c>
      <c r="G106" s="51" t="s">
        <v>58</v>
      </c>
      <c r="H106" s="21" t="s">
        <v>844</v>
      </c>
    </row>
    <row r="107" spans="2:9">
      <c r="B107" s="20" t="s">
        <v>742</v>
      </c>
      <c r="C107" s="93">
        <v>972</v>
      </c>
      <c r="D107" s="21" t="s">
        <v>317</v>
      </c>
      <c r="E107" s="21" t="s">
        <v>185</v>
      </c>
      <c r="F107" s="21">
        <v>2022</v>
      </c>
      <c r="G107" s="51" t="s">
        <v>782</v>
      </c>
      <c r="H107" s="21">
        <v>66</v>
      </c>
      <c r="I107" s="21" t="s">
        <v>849</v>
      </c>
    </row>
    <row r="109" spans="2:9">
      <c r="B109" s="25" t="s">
        <v>674</v>
      </c>
      <c r="C109" s="25"/>
    </row>
    <row r="110" spans="2:9">
      <c r="B110" s="131" t="s">
        <v>54</v>
      </c>
      <c r="C110" s="93">
        <v>23</v>
      </c>
      <c r="D110" s="131" t="s">
        <v>53</v>
      </c>
      <c r="E110" s="131" t="s">
        <v>357</v>
      </c>
      <c r="F110" s="131">
        <v>2022</v>
      </c>
      <c r="G110" s="131"/>
      <c r="H110" s="131"/>
      <c r="I110" s="131" t="s">
        <v>358</v>
      </c>
    </row>
    <row r="111" spans="2:9">
      <c r="B111" s="131" t="s">
        <v>359</v>
      </c>
      <c r="C111" s="96">
        <v>0.13</v>
      </c>
      <c r="D111" s="131" t="s">
        <v>33</v>
      </c>
      <c r="E111" s="131" t="s">
        <v>357</v>
      </c>
      <c r="F111" s="131">
        <v>2022</v>
      </c>
      <c r="G111" s="131"/>
      <c r="H111" s="131"/>
      <c r="I111" s="131"/>
    </row>
    <row r="112" spans="2:9">
      <c r="B112" s="20" t="s">
        <v>363</v>
      </c>
      <c r="C112" s="199">
        <v>8.9499999999999996E-2</v>
      </c>
      <c r="D112" s="21" t="s">
        <v>33</v>
      </c>
      <c r="E112" s="21" t="s">
        <v>364</v>
      </c>
      <c r="F112" s="21">
        <v>2020</v>
      </c>
      <c r="G112" s="51" t="s">
        <v>493</v>
      </c>
      <c r="H112" s="27" t="s">
        <v>366</v>
      </c>
    </row>
    <row r="113" spans="2:9">
      <c r="B113" s="194" t="s">
        <v>1484</v>
      </c>
      <c r="E113" s="27"/>
      <c r="H113"/>
      <c r="I113"/>
    </row>
    <row r="114" spans="2:9">
      <c r="B114" s="20" t="s">
        <v>1485</v>
      </c>
      <c r="C114" s="101">
        <v>0</v>
      </c>
      <c r="D114" s="21" t="s">
        <v>33</v>
      </c>
      <c r="E114" s="21" t="s">
        <v>1490</v>
      </c>
      <c r="F114" s="21">
        <v>2023</v>
      </c>
      <c r="G114" s="60" t="s">
        <v>1491</v>
      </c>
      <c r="I114"/>
    </row>
    <row r="115" spans="2:9">
      <c r="B115" s="20" t="s">
        <v>1486</v>
      </c>
      <c r="C115" s="101">
        <v>3.5000000000000003E-2</v>
      </c>
      <c r="D115" s="21" t="s">
        <v>33</v>
      </c>
      <c r="E115" s="21" t="s">
        <v>1490</v>
      </c>
      <c r="F115" s="21">
        <v>2023</v>
      </c>
      <c r="G115" s="60" t="s">
        <v>1491</v>
      </c>
      <c r="I115"/>
    </row>
    <row r="116" spans="2:9">
      <c r="B116" s="20" t="s">
        <v>1487</v>
      </c>
      <c r="C116" s="101">
        <v>5.2999999999999999E-2</v>
      </c>
      <c r="D116" s="21" t="s">
        <v>33</v>
      </c>
      <c r="E116" s="21" t="s">
        <v>1490</v>
      </c>
      <c r="F116" s="21">
        <v>2023</v>
      </c>
      <c r="G116" s="60" t="s">
        <v>1491</v>
      </c>
      <c r="I116"/>
    </row>
    <row r="117" spans="2:9">
      <c r="B117" s="20" t="s">
        <v>1488</v>
      </c>
      <c r="C117" s="101">
        <v>0.63200000000000001</v>
      </c>
      <c r="D117" s="21" t="s">
        <v>33</v>
      </c>
      <c r="E117" s="21" t="s">
        <v>1490</v>
      </c>
      <c r="F117" s="21">
        <v>2023</v>
      </c>
      <c r="G117" s="60" t="s">
        <v>1491</v>
      </c>
      <c r="I117"/>
    </row>
    <row r="118" spans="2:9">
      <c r="B118" s="20" t="s">
        <v>1489</v>
      </c>
      <c r="C118" s="101">
        <v>0.28100000000000003</v>
      </c>
      <c r="D118" s="21" t="s">
        <v>33</v>
      </c>
      <c r="E118" s="21" t="s">
        <v>1490</v>
      </c>
      <c r="F118" s="21">
        <v>2023</v>
      </c>
      <c r="G118" s="60" t="s">
        <v>1491</v>
      </c>
      <c r="I118"/>
    </row>
    <row r="120" spans="2:9" s="18" customFormat="1">
      <c r="B120" s="53" t="s">
        <v>370</v>
      </c>
      <c r="C120" s="53"/>
      <c r="D120" s="35"/>
      <c r="E120" s="35"/>
      <c r="F120" s="35"/>
      <c r="G120" s="35"/>
      <c r="H120" s="35"/>
      <c r="I120" s="35"/>
    </row>
  </sheetData>
  <mergeCells count="4">
    <mergeCell ref="C41:C42"/>
    <mergeCell ref="C12:C13"/>
    <mergeCell ref="C19:C20"/>
    <mergeCell ref="C34:C35"/>
  </mergeCells>
  <phoneticPr fontId="16" type="noConversion"/>
  <dataValidations count="1">
    <dataValidation type="list" allowBlank="1" showInputMessage="1" showErrorMessage="1" sqref="J113:J118" xr:uid="{5E833159-ED6B-46CD-8E94-3E721139C3FC}">
      <formula1>"Available annually, Available every few years, Infrequent / Once-off"</formula1>
    </dataValidation>
  </dataValidations>
  <hyperlinks>
    <hyperlink ref="G11" r:id="rId1" xr:uid="{F66C034D-4DBC-4AA3-8738-5C9D2CAEDF3B}"/>
    <hyperlink ref="G12" r:id="rId2" xr:uid="{BEABE754-0BDB-4337-B158-AB44C9C85AFB}"/>
    <hyperlink ref="G14" r:id="rId3" xr:uid="{478E0F16-3B43-471A-AE3E-A074FF9A0CB9}"/>
    <hyperlink ref="G15" r:id="rId4" xr:uid="{E4A76A92-A846-4210-AAFC-565D20500825}"/>
    <hyperlink ref="G18" r:id="rId5" xr:uid="{0BC3A928-4C5D-45B8-8331-9B1A12E98AE8}"/>
    <hyperlink ref="G19" r:id="rId6" xr:uid="{5EEA8F77-E1DA-40CB-9012-31DA159ED12C}"/>
    <hyperlink ref="G20" r:id="rId7" xr:uid="{B04F599F-F039-4970-BD21-611E734459C4}"/>
    <hyperlink ref="G21" r:id="rId8" xr:uid="{724D2E63-CBD1-4758-8B20-7F0B39D2F491}"/>
    <hyperlink ref="G22" r:id="rId9" xr:uid="{31BE176E-EEC0-44CF-BA73-11685DCEAEEB}"/>
    <hyperlink ref="G27" r:id="rId10" xr:uid="{E947AD04-27D4-45C2-83DC-AEC44559BF1D}"/>
    <hyperlink ref="G28" r:id="rId11" xr:uid="{861B4012-476A-4051-8B04-266D9EDE7297}"/>
    <hyperlink ref="G29" r:id="rId12" xr:uid="{2917B742-23A2-48C4-9FDD-827CE2BD50CA}"/>
    <hyperlink ref="G40" r:id="rId13" display="https://iea.blob.core.windows.net/assets/6ee41bb9-8e81-4b64-8701-2acc064ff6e4/AmmoniaTechnologyRoadmap.pdf" xr:uid="{23006EF6-063C-4B0A-ABDA-3C1155357876}"/>
    <hyperlink ref="G41" r:id="rId14" display="https://iea.blob.core.windows.net/assets/6ee41bb9-8e81-4b64-8701-2acc064ff6e4/AmmoniaTechnologyRoadmap.pdf" xr:uid="{A738D1A7-634F-4455-84CE-A957D2B45935}"/>
    <hyperlink ref="G42" r:id="rId15" display="https://iea.blob.core.windows.net/assets/6ee41bb9-8e81-4b64-8701-2acc064ff6e4/AmmoniaTechnologyRoadmap.pdf" xr:uid="{98B523A6-D8D2-4B6C-9984-109ED19F6697}"/>
    <hyperlink ref="G43" r:id="rId16" display="https://iea.blob.core.windows.net/assets/6ee41bb9-8e81-4b64-8701-2acc064ff6e4/AmmoniaTechnologyRoadmap.pdf" xr:uid="{A76BE374-37AA-4B28-8E94-29B68164C897}"/>
    <hyperlink ref="G44" r:id="rId17" display="https://iea.blob.core.windows.net/assets/6ee41bb9-8e81-4b64-8701-2acc064ff6e4/AmmoniaTechnologyRoadmap.pdf" xr:uid="{16A36680-4CF2-4120-BDD8-DF2497F03E96}"/>
    <hyperlink ref="G55" r:id="rId18" xr:uid="{CA1D1FFE-8EBE-4272-AA2C-0EEF7C914655}"/>
    <hyperlink ref="G53" r:id="rId19" xr:uid="{0DCA5E51-896F-4651-8332-C8E5DD16E5DE}"/>
    <hyperlink ref="G105" r:id="rId20" xr:uid="{BE275B79-6050-4E88-BB17-462C6ABABE01}"/>
    <hyperlink ref="G106" r:id="rId21" xr:uid="{3490612E-3F0A-4A6F-A63E-B1B0C28FC1FB}"/>
    <hyperlink ref="G69" r:id="rId22"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83B6D1B3-EEEE-476F-8EC6-B97A1D3F3476}"/>
    <hyperlink ref="G68" r:id="rId23"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B2784835-ED49-443D-BB5D-80EF3F0BEBA6}"/>
    <hyperlink ref="G112" r:id="rId24" xr:uid="{CD16718B-E736-4A4A-95B5-AC48E4788B68}"/>
    <hyperlink ref="G63" r:id="rId25" xr:uid="{E9AC6246-D480-45B4-8E5C-6F77FB4B1073}"/>
    <hyperlink ref="G59" r:id="rId26" xr:uid="{B7EDF4E3-B436-480F-BAB4-ADB4F88203CF}"/>
    <hyperlink ref="G107" r:id="rId27" xr:uid="{F29C803E-6BBD-499A-894C-026AF5D8CAD0}"/>
    <hyperlink ref="G49" r:id="rId28" xr:uid="{6AF4C632-FB59-4247-AF9B-B8B53B0820BB}"/>
    <hyperlink ref="G54" r:id="rId29" xr:uid="{F1C3A011-7189-4BE1-A87F-7A7DAFC48EA8}"/>
    <hyperlink ref="G60" r:id="rId30" xr:uid="{B1D9A858-53B8-4B1C-B433-9454F7ECF2C7}"/>
    <hyperlink ref="G61" r:id="rId31" display="Renewable Power Generation Costs in 2021 (irena.org)" xr:uid="{61EA3348-934B-40BC-8D86-92CA46FD6687}"/>
    <hyperlink ref="G62" r:id="rId32" xr:uid="{A378D85A-7CB1-428C-BA11-5F47E3728C8F}"/>
    <hyperlink ref="G37" r:id="rId33" xr:uid="{E5D85164-B125-4DDF-BA18-5CDBCFC3CE50}"/>
    <hyperlink ref="G35" r:id="rId34" xr:uid="{2EA9F99F-AC88-417E-9E7C-13DE7DD0BC75}"/>
  </hyperlinks>
  <pageMargins left="0.7" right="0.7" top="0.75" bottom="0.75" header="0.3" footer="0.3"/>
  <pageSetup orientation="portrait" r:id="rId35"/>
  <drawing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D5EE-A72E-4EB2-85FC-9207BE15051B}">
  <sheetPr codeName="Sheet14">
    <tabColor rgb="FFAC2AAC"/>
  </sheetPr>
  <dimension ref="A1:J81"/>
  <sheetViews>
    <sheetView showGridLines="0" topLeftCell="A59" zoomScale="55" zoomScaleNormal="55" workbookViewId="0">
      <selection activeCell="B5" sqref="B5"/>
    </sheetView>
  </sheetViews>
  <sheetFormatPr baseColWidth="10" defaultColWidth="8.83203125" defaultRowHeight="15"/>
  <cols>
    <col min="2" max="3" width="35.5" style="21" customWidth="1"/>
    <col min="4" max="4" width="15.1640625" style="21" customWidth="1"/>
    <col min="5" max="5" width="17.1640625" style="21" customWidth="1"/>
    <col min="6" max="6" width="11.83203125" style="21" customWidth="1"/>
    <col min="7" max="7" width="38.83203125" style="21" customWidth="1"/>
    <col min="8" max="8" width="23.1640625" style="21" customWidth="1"/>
    <col min="9" max="9" width="37.83203125" style="21" customWidth="1"/>
  </cols>
  <sheetData>
    <row r="1" spans="2:9" s="1" customFormat="1">
      <c r="B1" s="2"/>
      <c r="C1" s="2"/>
      <c r="D1" s="2"/>
      <c r="E1" s="2"/>
      <c r="F1" s="2"/>
      <c r="G1" s="2"/>
      <c r="H1" s="2"/>
      <c r="I1" s="2"/>
    </row>
    <row r="2" spans="2:9" s="1" customFormat="1" ht="15" customHeight="1">
      <c r="B2" s="19" t="s">
        <v>371</v>
      </c>
      <c r="C2" s="19"/>
      <c r="D2" s="2"/>
      <c r="E2" s="2"/>
      <c r="F2" s="2"/>
      <c r="G2" s="2"/>
      <c r="H2" s="2"/>
      <c r="I2" s="2"/>
    </row>
    <row r="3" spans="2:9" s="1" customFormat="1" ht="15" customHeight="1">
      <c r="B3" s="19" t="s">
        <v>850</v>
      </c>
      <c r="C3" s="19"/>
      <c r="D3" s="2"/>
      <c r="E3" s="2"/>
      <c r="F3" s="2"/>
      <c r="G3" s="2"/>
      <c r="H3" s="2"/>
      <c r="I3" s="2"/>
    </row>
    <row r="4" spans="2:9" s="4" customFormat="1" ht="15" customHeight="1" thickBot="1">
      <c r="B4" s="5"/>
      <c r="C4" s="5"/>
      <c r="D4" s="5"/>
      <c r="E4" s="5"/>
      <c r="F4" s="5"/>
      <c r="G4" s="5"/>
      <c r="H4" s="5"/>
      <c r="I4" s="5"/>
    </row>
    <row r="5" spans="2:9">
      <c r="B5" s="25" t="s">
        <v>1509</v>
      </c>
    </row>
    <row r="7" spans="2:9" ht="14.25" customHeight="1">
      <c r="B7" s="13" t="s">
        <v>851</v>
      </c>
      <c r="C7" s="13"/>
      <c r="D7" s="35"/>
      <c r="E7" s="35"/>
      <c r="F7" s="35"/>
      <c r="G7" s="35"/>
      <c r="H7" s="35"/>
      <c r="I7" s="35"/>
    </row>
    <row r="8" spans="2:9">
      <c r="B8" s="24" t="s">
        <v>47</v>
      </c>
      <c r="C8" s="24" t="s">
        <v>48</v>
      </c>
      <c r="D8" s="24" t="s">
        <v>49</v>
      </c>
      <c r="E8" s="24" t="s">
        <v>28</v>
      </c>
      <c r="F8" s="24" t="s">
        <v>50</v>
      </c>
      <c r="G8" s="24" t="s">
        <v>29</v>
      </c>
      <c r="H8" s="24" t="s">
        <v>122</v>
      </c>
      <c r="I8" s="24" t="s">
        <v>123</v>
      </c>
    </row>
    <row r="9" spans="2:9">
      <c r="B9" s="21" t="s">
        <v>124</v>
      </c>
    </row>
    <row r="10" spans="2:9">
      <c r="B10" s="20" t="s">
        <v>499</v>
      </c>
      <c r="C10" s="98">
        <v>3.5</v>
      </c>
      <c r="D10" s="21" t="s">
        <v>125</v>
      </c>
      <c r="E10" s="21" t="s">
        <v>51</v>
      </c>
      <c r="F10" s="21">
        <v>2022</v>
      </c>
      <c r="G10" s="51" t="s">
        <v>852</v>
      </c>
      <c r="H10" s="51"/>
    </row>
    <row r="11" spans="2:9">
      <c r="B11" s="20" t="s">
        <v>24</v>
      </c>
      <c r="C11" s="20"/>
      <c r="D11" s="21" t="s">
        <v>125</v>
      </c>
      <c r="E11" s="21" t="s">
        <v>52</v>
      </c>
      <c r="F11" s="21" t="s">
        <v>52</v>
      </c>
      <c r="G11" s="21" t="s">
        <v>228</v>
      </c>
    </row>
    <row r="12" spans="2:9">
      <c r="B12" s="20" t="s">
        <v>25</v>
      </c>
      <c r="C12" s="171">
        <f>(C72*365*405)/POWER(10,6)</f>
        <v>14.76032625</v>
      </c>
      <c r="D12" s="21" t="s">
        <v>125</v>
      </c>
      <c r="E12" s="21" t="s">
        <v>52</v>
      </c>
      <c r="F12" s="21">
        <v>2021</v>
      </c>
      <c r="I12" s="71" t="s">
        <v>853</v>
      </c>
    </row>
    <row r="13" spans="2:9">
      <c r="B13" s="21" t="s">
        <v>854</v>
      </c>
      <c r="C13" s="98">
        <v>1.5</v>
      </c>
      <c r="D13" s="21" t="s">
        <v>125</v>
      </c>
      <c r="E13" s="21" t="s">
        <v>51</v>
      </c>
      <c r="F13" s="21">
        <v>2022</v>
      </c>
      <c r="G13" s="51" t="s">
        <v>855</v>
      </c>
      <c r="I13" s="21" t="s">
        <v>856</v>
      </c>
    </row>
    <row r="14" spans="2:9">
      <c r="B14" s="21" t="s">
        <v>133</v>
      </c>
      <c r="C14" s="40">
        <v>1.6</v>
      </c>
      <c r="D14" s="21" t="s">
        <v>134</v>
      </c>
      <c r="F14" s="21">
        <v>2022</v>
      </c>
      <c r="G14" s="51" t="s">
        <v>503</v>
      </c>
    </row>
    <row r="15" spans="2:9">
      <c r="B15" s="21" t="s">
        <v>133</v>
      </c>
      <c r="C15" s="120">
        <f>C14/1000</f>
        <v>1.6000000000000001E-3</v>
      </c>
      <c r="D15" s="21" t="s">
        <v>125</v>
      </c>
    </row>
    <row r="16" spans="2:9">
      <c r="B16" s="21" t="s">
        <v>136</v>
      </c>
    </row>
    <row r="18" spans="1:10">
      <c r="A18" s="9"/>
      <c r="B18" s="53" t="s">
        <v>138</v>
      </c>
      <c r="C18" s="53"/>
      <c r="D18" s="35"/>
      <c r="E18" s="35"/>
      <c r="F18" s="35"/>
      <c r="G18" s="35"/>
      <c r="H18" s="35"/>
      <c r="I18" s="35"/>
    </row>
    <row r="19" spans="1:10">
      <c r="B19" s="24" t="s">
        <v>47</v>
      </c>
      <c r="C19" s="24" t="s">
        <v>48</v>
      </c>
      <c r="D19" s="24" t="s">
        <v>49</v>
      </c>
      <c r="E19" s="24" t="s">
        <v>28</v>
      </c>
      <c r="F19" s="24" t="s">
        <v>50</v>
      </c>
      <c r="G19" s="24" t="s">
        <v>29</v>
      </c>
      <c r="H19" s="24" t="s">
        <v>122</v>
      </c>
      <c r="I19" s="24" t="s">
        <v>123</v>
      </c>
    </row>
    <row r="20" spans="1:10">
      <c r="B20" s="21" t="s">
        <v>139</v>
      </c>
      <c r="C20" s="95">
        <v>94.8</v>
      </c>
      <c r="D20" s="21" t="s">
        <v>857</v>
      </c>
      <c r="E20" s="21" t="s">
        <v>51</v>
      </c>
      <c r="F20" s="21">
        <v>2022</v>
      </c>
      <c r="G20" s="51" t="s">
        <v>858</v>
      </c>
      <c r="I20" s="21" t="s">
        <v>859</v>
      </c>
    </row>
    <row r="21" spans="1:10">
      <c r="B21" s="21" t="s">
        <v>860</v>
      </c>
      <c r="C21" s="96">
        <v>0.1075</v>
      </c>
      <c r="D21" s="21" t="s">
        <v>33</v>
      </c>
      <c r="E21" s="21" t="s">
        <v>51</v>
      </c>
      <c r="F21" s="21">
        <v>2019</v>
      </c>
      <c r="G21" s="51" t="s">
        <v>861</v>
      </c>
    </row>
    <row r="22" spans="1:10" ht="14.25" customHeight="1">
      <c r="B22" s="21" t="s">
        <v>862</v>
      </c>
      <c r="C22" s="97">
        <v>9.1000000000000004E-3</v>
      </c>
      <c r="D22" s="21" t="s">
        <v>33</v>
      </c>
      <c r="E22" s="21" t="s">
        <v>51</v>
      </c>
      <c r="F22" s="21">
        <v>2019</v>
      </c>
      <c r="G22" s="21" t="s">
        <v>129</v>
      </c>
      <c r="J22">
        <f>(250/2.8)*(35.3417/365)</f>
        <v>8.6452299412915856</v>
      </c>
    </row>
    <row r="23" spans="1:10">
      <c r="B23" s="21" t="s">
        <v>863</v>
      </c>
      <c r="C23" s="21">
        <v>8.6</v>
      </c>
      <c r="D23" s="21" t="s">
        <v>864</v>
      </c>
      <c r="E23" s="21" t="s">
        <v>51</v>
      </c>
      <c r="F23" s="21">
        <v>2022</v>
      </c>
      <c r="G23" s="51" t="s">
        <v>852</v>
      </c>
    </row>
    <row r="24" spans="1:10">
      <c r="B24" s="21" t="s">
        <v>863</v>
      </c>
      <c r="C24" s="49">
        <f>C23*0.167</f>
        <v>1.4361999999999999</v>
      </c>
      <c r="D24" s="21" t="s">
        <v>865</v>
      </c>
      <c r="G24" s="51"/>
      <c r="H24" s="21" t="s">
        <v>866</v>
      </c>
    </row>
    <row r="25" spans="1:10">
      <c r="B25" s="21" t="s">
        <v>867</v>
      </c>
      <c r="C25" s="49">
        <v>4.28</v>
      </c>
      <c r="D25" s="21" t="s">
        <v>864</v>
      </c>
      <c r="E25" s="21" t="s">
        <v>51</v>
      </c>
      <c r="F25" s="21">
        <v>2022</v>
      </c>
      <c r="G25" s="51" t="s">
        <v>855</v>
      </c>
      <c r="H25" s="21" t="s">
        <v>868</v>
      </c>
    </row>
    <row r="26" spans="1:10">
      <c r="B26" s="21" t="s">
        <v>867</v>
      </c>
      <c r="C26" s="49">
        <f>C25*0.167</f>
        <v>0.71476000000000006</v>
      </c>
      <c r="D26" s="21" t="s">
        <v>865</v>
      </c>
      <c r="G26" s="51"/>
      <c r="H26" s="21" t="s">
        <v>866</v>
      </c>
    </row>
    <row r="27" spans="1:10">
      <c r="B27" s="21" t="s">
        <v>869</v>
      </c>
      <c r="C27" s="49">
        <v>1.33</v>
      </c>
      <c r="D27" s="21" t="s">
        <v>864</v>
      </c>
      <c r="G27" s="51" t="s">
        <v>855</v>
      </c>
      <c r="I27" s="21" t="s">
        <v>870</v>
      </c>
    </row>
    <row r="28" spans="1:10">
      <c r="B28" s="21" t="s">
        <v>869</v>
      </c>
      <c r="C28" s="49">
        <f>C27*0.167</f>
        <v>0.22211000000000003</v>
      </c>
      <c r="D28" s="21" t="s">
        <v>865</v>
      </c>
      <c r="G28" s="51"/>
    </row>
    <row r="29" spans="1:10">
      <c r="B29" s="21" t="s">
        <v>867</v>
      </c>
      <c r="C29" s="46">
        <v>32.56</v>
      </c>
      <c r="D29" s="21" t="s">
        <v>61</v>
      </c>
      <c r="E29" s="21" t="s">
        <v>51</v>
      </c>
      <c r="F29" s="21">
        <v>2022</v>
      </c>
      <c r="G29" s="51" t="s">
        <v>855</v>
      </c>
    </row>
    <row r="30" spans="1:10">
      <c r="B30" s="21" t="s">
        <v>869</v>
      </c>
      <c r="C30" s="46">
        <v>10.99</v>
      </c>
      <c r="D30" s="21" t="s">
        <v>61</v>
      </c>
      <c r="E30" s="21" t="s">
        <v>51</v>
      </c>
      <c r="F30" s="21">
        <v>2022</v>
      </c>
      <c r="G30" s="51" t="s">
        <v>855</v>
      </c>
      <c r="I30" s="21" t="s">
        <v>870</v>
      </c>
    </row>
    <row r="31" spans="1:10">
      <c r="C31" s="69"/>
      <c r="G31" s="51"/>
    </row>
    <row r="32" spans="1:10">
      <c r="G32" s="51"/>
    </row>
    <row r="33" spans="1:9">
      <c r="A33" s="9"/>
      <c r="B33" s="53" t="s">
        <v>158</v>
      </c>
      <c r="C33" s="53"/>
      <c r="D33" s="35"/>
      <c r="E33" s="35"/>
      <c r="F33" s="35"/>
      <c r="G33" s="35"/>
      <c r="H33" s="35"/>
      <c r="I33" s="35"/>
    </row>
    <row r="34" spans="1:9">
      <c r="B34" s="24" t="s">
        <v>47</v>
      </c>
      <c r="C34" s="24" t="s">
        <v>48</v>
      </c>
      <c r="D34" s="24" t="s">
        <v>49</v>
      </c>
      <c r="E34" s="24" t="s">
        <v>28</v>
      </c>
      <c r="F34" s="24" t="s">
        <v>50</v>
      </c>
      <c r="G34" s="24" t="s">
        <v>29</v>
      </c>
      <c r="H34" s="24" t="s">
        <v>122</v>
      </c>
      <c r="I34" s="24" t="s">
        <v>123</v>
      </c>
    </row>
    <row r="35" spans="1:9">
      <c r="D35" s="52"/>
    </row>
    <row r="36" spans="1:9">
      <c r="B36" s="25" t="s">
        <v>159</v>
      </c>
      <c r="C36" s="113">
        <v>105</v>
      </c>
      <c r="D36" s="52" t="s">
        <v>871</v>
      </c>
      <c r="E36" s="21" t="s">
        <v>51</v>
      </c>
      <c r="F36" s="21">
        <v>2022</v>
      </c>
      <c r="G36" s="51" t="s">
        <v>852</v>
      </c>
    </row>
    <row r="37" spans="1:9">
      <c r="B37" s="20" t="s">
        <v>872</v>
      </c>
      <c r="C37" s="128">
        <f>C46/SUM($C$46:$C$48)*$C$36</f>
        <v>58.813291139240505</v>
      </c>
      <c r="D37" s="52" t="s">
        <v>871</v>
      </c>
      <c r="E37" s="21" t="s">
        <v>51</v>
      </c>
      <c r="F37" s="21" t="s">
        <v>52</v>
      </c>
      <c r="G37" s="21" t="s">
        <v>52</v>
      </c>
      <c r="H37" s="21" t="s">
        <v>873</v>
      </c>
    </row>
    <row r="38" spans="1:9">
      <c r="B38" s="20" t="s">
        <v>874</v>
      </c>
      <c r="C38" s="128">
        <f>C47/SUM($C$46:$C$48)*$C$36</f>
        <v>9.6360759493670898</v>
      </c>
      <c r="D38" s="52" t="s">
        <v>871</v>
      </c>
      <c r="E38" s="21" t="s">
        <v>51</v>
      </c>
      <c r="F38" s="21" t="s">
        <v>52</v>
      </c>
      <c r="G38" s="21" t="s">
        <v>52</v>
      </c>
      <c r="H38" s="21" t="s">
        <v>873</v>
      </c>
    </row>
    <row r="39" spans="1:9">
      <c r="B39" s="20" t="s">
        <v>875</v>
      </c>
      <c r="C39" s="128">
        <f>C48/SUM($C$46:$C$48)*$C$36</f>
        <v>36.550632911392405</v>
      </c>
      <c r="D39" s="52" t="s">
        <v>871</v>
      </c>
      <c r="E39" s="21" t="s">
        <v>51</v>
      </c>
      <c r="F39" s="21" t="s">
        <v>52</v>
      </c>
      <c r="G39" s="21" t="s">
        <v>52</v>
      </c>
      <c r="H39" s="21" t="s">
        <v>873</v>
      </c>
    </row>
    <row r="40" spans="1:9" ht="14.25" customHeight="1">
      <c r="B40" s="25" t="s">
        <v>167</v>
      </c>
      <c r="C40" s="96">
        <v>1</v>
      </c>
      <c r="H40" s="21" t="s">
        <v>876</v>
      </c>
    </row>
    <row r="41" spans="1:9" ht="14.25" customHeight="1">
      <c r="B41" s="21" t="s">
        <v>877</v>
      </c>
    </row>
    <row r="42" spans="1:9" ht="14.25" customHeight="1">
      <c r="B42" s="20" t="s">
        <v>872</v>
      </c>
      <c r="C42" s="44">
        <f>1100/1770</f>
        <v>0.62146892655367236</v>
      </c>
      <c r="D42" s="21" t="s">
        <v>33</v>
      </c>
      <c r="E42" s="21" t="s">
        <v>51</v>
      </c>
      <c r="F42" s="21">
        <v>2017</v>
      </c>
      <c r="G42" s="51" t="s">
        <v>878</v>
      </c>
      <c r="H42" s="21" t="s">
        <v>879</v>
      </c>
      <c r="I42" s="31"/>
    </row>
    <row r="43" spans="1:9" ht="14.25" customHeight="1">
      <c r="B43" s="20" t="s">
        <v>874</v>
      </c>
      <c r="C43" s="44">
        <v>0</v>
      </c>
      <c r="D43" s="21" t="s">
        <v>33</v>
      </c>
      <c r="H43" s="21" t="s">
        <v>880</v>
      </c>
    </row>
    <row r="44" spans="1:9">
      <c r="B44" s="20" t="s">
        <v>875</v>
      </c>
      <c r="C44" s="127">
        <v>7.0000000000000007E-2</v>
      </c>
      <c r="E44" s="21" t="s">
        <v>881</v>
      </c>
      <c r="F44" s="21">
        <v>2019</v>
      </c>
      <c r="G44" s="51" t="s">
        <v>882</v>
      </c>
      <c r="H44" s="21" t="s">
        <v>883</v>
      </c>
    </row>
    <row r="45" spans="1:9">
      <c r="B45" s="25" t="s">
        <v>884</v>
      </c>
    </row>
    <row r="46" spans="1:9" ht="15.75" customHeight="1">
      <c r="B46" s="21" t="s">
        <v>872</v>
      </c>
      <c r="C46" s="21">
        <f>400+1100+270</f>
        <v>1770</v>
      </c>
      <c r="D46" s="21" t="s">
        <v>885</v>
      </c>
      <c r="E46" s="21" t="s">
        <v>51</v>
      </c>
      <c r="F46" s="21">
        <v>2017</v>
      </c>
      <c r="G46" s="51" t="s">
        <v>878</v>
      </c>
      <c r="H46" s="21" t="s">
        <v>879</v>
      </c>
      <c r="I46" s="31"/>
    </row>
    <row r="47" spans="1:9" ht="15.75" customHeight="1">
      <c r="B47" s="21" t="s">
        <v>874</v>
      </c>
      <c r="C47" s="21">
        <f>200+90</f>
        <v>290</v>
      </c>
      <c r="D47" s="21" t="s">
        <v>885</v>
      </c>
      <c r="E47" s="21" t="s">
        <v>51</v>
      </c>
      <c r="F47" s="21">
        <v>2017</v>
      </c>
      <c r="G47" s="51" t="s">
        <v>878</v>
      </c>
      <c r="H47" s="21" t="s">
        <v>886</v>
      </c>
      <c r="I47" s="31"/>
    </row>
    <row r="48" spans="1:9" ht="15.75" customHeight="1">
      <c r="B48" s="21" t="s">
        <v>875</v>
      </c>
      <c r="C48" s="21">
        <v>1100</v>
      </c>
      <c r="D48" s="21" t="s">
        <v>885</v>
      </c>
      <c r="E48" s="21" t="s">
        <v>51</v>
      </c>
      <c r="F48" s="21">
        <v>2017</v>
      </c>
      <c r="G48" s="51" t="s">
        <v>878</v>
      </c>
      <c r="I48" s="31"/>
    </row>
    <row r="50" spans="1:9">
      <c r="A50" s="9"/>
      <c r="B50" s="53" t="s">
        <v>170</v>
      </c>
      <c r="C50" s="53"/>
      <c r="D50" s="35"/>
      <c r="E50" s="35"/>
      <c r="F50" s="35"/>
      <c r="G50" s="35"/>
      <c r="H50" s="35"/>
      <c r="I50" s="35"/>
    </row>
    <row r="51" spans="1:9">
      <c r="B51" s="24" t="s">
        <v>47</v>
      </c>
      <c r="C51" s="24" t="s">
        <v>48</v>
      </c>
      <c r="D51" s="24" t="s">
        <v>49</v>
      </c>
      <c r="E51" s="24" t="s">
        <v>28</v>
      </c>
      <c r="F51" s="24" t="s">
        <v>50</v>
      </c>
      <c r="G51" s="24" t="s">
        <v>29</v>
      </c>
      <c r="H51" s="24" t="s">
        <v>122</v>
      </c>
      <c r="I51" s="24" t="s">
        <v>123</v>
      </c>
    </row>
    <row r="53" spans="1:9">
      <c r="B53" s="21" t="s">
        <v>171</v>
      </c>
      <c r="C53" s="55">
        <f>SUM(C54:C57)</f>
        <v>37.308</v>
      </c>
      <c r="D53" s="21" t="s">
        <v>38</v>
      </c>
      <c r="I53" s="21" t="s">
        <v>887</v>
      </c>
    </row>
    <row r="54" spans="1:9">
      <c r="B54" s="20" t="s">
        <v>39</v>
      </c>
      <c r="C54" s="46">
        <v>0</v>
      </c>
      <c r="D54" s="21" t="s">
        <v>38</v>
      </c>
      <c r="E54" s="21" t="s">
        <v>52</v>
      </c>
      <c r="F54" s="21" t="s">
        <v>52</v>
      </c>
      <c r="G54" s="21" t="s">
        <v>52</v>
      </c>
    </row>
    <row r="55" spans="1:9">
      <c r="B55" s="20" t="s">
        <v>15</v>
      </c>
      <c r="C55" s="21">
        <v>23.14</v>
      </c>
      <c r="D55" s="21" t="s">
        <v>38</v>
      </c>
      <c r="E55" s="21" t="s">
        <v>51</v>
      </c>
      <c r="F55" s="21">
        <v>2019</v>
      </c>
      <c r="G55" s="51" t="s">
        <v>888</v>
      </c>
      <c r="H55" s="21" t="s">
        <v>889</v>
      </c>
    </row>
    <row r="56" spans="1:9">
      <c r="B56" s="20" t="s">
        <v>26</v>
      </c>
      <c r="C56" s="46">
        <v>14.167999999999999</v>
      </c>
      <c r="D56" s="21" t="s">
        <v>38</v>
      </c>
      <c r="E56" s="21" t="s">
        <v>52</v>
      </c>
      <c r="F56" s="21">
        <v>2019</v>
      </c>
      <c r="G56" s="51" t="s">
        <v>888</v>
      </c>
      <c r="H56" s="21" t="s">
        <v>889</v>
      </c>
    </row>
    <row r="57" spans="1:9">
      <c r="B57" s="20" t="s">
        <v>175</v>
      </c>
      <c r="C57" s="21">
        <v>0</v>
      </c>
      <c r="D57" s="21" t="s">
        <v>38</v>
      </c>
      <c r="E57" s="21" t="s">
        <v>52</v>
      </c>
      <c r="F57" s="21" t="s">
        <v>52</v>
      </c>
      <c r="G57" s="21" t="s">
        <v>890</v>
      </c>
    </row>
    <row r="58" spans="1:9">
      <c r="B58" s="21" t="s">
        <v>171</v>
      </c>
    </row>
    <row r="59" spans="1:9">
      <c r="B59" s="20" t="s">
        <v>39</v>
      </c>
      <c r="C59" s="78">
        <f>C54/$C$53</f>
        <v>0</v>
      </c>
      <c r="D59" s="21" t="s">
        <v>33</v>
      </c>
      <c r="E59" s="21" t="s">
        <v>52</v>
      </c>
      <c r="F59" s="21" t="s">
        <v>52</v>
      </c>
      <c r="G59" s="21" t="s">
        <v>52</v>
      </c>
      <c r="H59" s="21" t="s">
        <v>52</v>
      </c>
      <c r="I59" s="21" t="s">
        <v>891</v>
      </c>
    </row>
    <row r="60" spans="1:9">
      <c r="B60" s="20" t="s">
        <v>15</v>
      </c>
      <c r="C60" s="45">
        <f>C55/$C$53</f>
        <v>0.62024230727994001</v>
      </c>
      <c r="D60" s="21" t="s">
        <v>33</v>
      </c>
      <c r="E60" s="21" t="s">
        <v>52</v>
      </c>
      <c r="F60" s="21" t="s">
        <v>52</v>
      </c>
      <c r="G60" s="21" t="s">
        <v>52</v>
      </c>
      <c r="H60" s="21" t="s">
        <v>52</v>
      </c>
      <c r="I60" s="21" t="s">
        <v>891</v>
      </c>
    </row>
    <row r="61" spans="1:9">
      <c r="B61" s="20" t="s">
        <v>26</v>
      </c>
      <c r="C61" s="45">
        <f>C56/$C$53</f>
        <v>0.37975769272006005</v>
      </c>
      <c r="D61" s="21" t="s">
        <v>33</v>
      </c>
      <c r="E61" s="21" t="s">
        <v>52</v>
      </c>
      <c r="F61" s="21" t="s">
        <v>52</v>
      </c>
      <c r="G61" s="21" t="s">
        <v>52</v>
      </c>
      <c r="H61" s="21" t="s">
        <v>52</v>
      </c>
      <c r="I61" s="21" t="s">
        <v>891</v>
      </c>
    </row>
    <row r="62" spans="1:9">
      <c r="B62" s="20" t="s">
        <v>175</v>
      </c>
      <c r="C62" s="78">
        <f>C57/$C$53</f>
        <v>0</v>
      </c>
      <c r="D62" s="21" t="s">
        <v>33</v>
      </c>
      <c r="G62" s="21" t="s">
        <v>890</v>
      </c>
    </row>
    <row r="63" spans="1:9">
      <c r="B63" s="21" t="s">
        <v>176</v>
      </c>
      <c r="C63" s="99">
        <f>SUMPRODUCT(C59:C62,C64:C67)</f>
        <v>62.626996667190909</v>
      </c>
      <c r="D63" s="21" t="s">
        <v>892</v>
      </c>
      <c r="I63" s="21" t="s">
        <v>525</v>
      </c>
    </row>
    <row r="64" spans="1:9">
      <c r="B64" s="20" t="s">
        <v>39</v>
      </c>
      <c r="C64" s="47">
        <v>90.737054939500212</v>
      </c>
      <c r="D64" s="21" t="s">
        <v>177</v>
      </c>
      <c r="E64" s="21" t="s">
        <v>178</v>
      </c>
      <c r="F64" s="21">
        <v>2021</v>
      </c>
      <c r="G64" s="51" t="s">
        <v>179</v>
      </c>
      <c r="I64" s="21" t="s">
        <v>180</v>
      </c>
    </row>
    <row r="65" spans="2:9">
      <c r="B65" s="20" t="s">
        <v>15</v>
      </c>
      <c r="C65" s="47">
        <v>70.268221021704093</v>
      </c>
      <c r="D65" s="21" t="s">
        <v>177</v>
      </c>
      <c r="E65" s="21" t="s">
        <v>178</v>
      </c>
      <c r="F65" s="21">
        <v>2021</v>
      </c>
      <c r="G65" s="21" t="s">
        <v>179</v>
      </c>
      <c r="I65" s="21" t="s">
        <v>181</v>
      </c>
    </row>
    <row r="66" spans="2:9">
      <c r="B66" s="20" t="s">
        <v>26</v>
      </c>
      <c r="C66" s="47">
        <v>50.146905506587053</v>
      </c>
      <c r="D66" s="21" t="s">
        <v>177</v>
      </c>
      <c r="E66" s="21" t="s">
        <v>178</v>
      </c>
      <c r="F66" s="21">
        <v>2021</v>
      </c>
      <c r="G66" s="21" t="s">
        <v>179</v>
      </c>
      <c r="I66" s="21" t="s">
        <v>182</v>
      </c>
    </row>
    <row r="67" spans="2:9">
      <c r="B67" s="20" t="s">
        <v>175</v>
      </c>
      <c r="C67" s="21">
        <v>127</v>
      </c>
      <c r="D67" s="21" t="s">
        <v>177</v>
      </c>
      <c r="E67" s="27" t="s">
        <v>51</v>
      </c>
      <c r="F67" s="27" t="s">
        <v>52</v>
      </c>
      <c r="G67" s="27" t="s">
        <v>527</v>
      </c>
      <c r="H67" s="27" t="s">
        <v>52</v>
      </c>
      <c r="I67" s="21" t="s">
        <v>893</v>
      </c>
    </row>
    <row r="69" spans="2:9">
      <c r="B69" s="53" t="s">
        <v>196</v>
      </c>
      <c r="C69" s="53"/>
      <c r="D69" s="35"/>
      <c r="E69" s="35"/>
      <c r="F69" s="35"/>
      <c r="G69" s="35"/>
      <c r="H69" s="35"/>
      <c r="I69" s="35"/>
    </row>
    <row r="70" spans="2:9">
      <c r="B70" s="24" t="s">
        <v>47</v>
      </c>
      <c r="C70" s="24" t="s">
        <v>48</v>
      </c>
      <c r="D70" s="24" t="s">
        <v>49</v>
      </c>
      <c r="E70" s="24" t="s">
        <v>28</v>
      </c>
      <c r="F70" s="24" t="s">
        <v>50</v>
      </c>
      <c r="G70" s="24" t="s">
        <v>29</v>
      </c>
      <c r="H70" s="24" t="s">
        <v>122</v>
      </c>
      <c r="I70" s="24" t="s">
        <v>123</v>
      </c>
    </row>
    <row r="72" spans="2:9">
      <c r="B72" s="21" t="s">
        <v>896</v>
      </c>
      <c r="C72" s="98">
        <v>99.85</v>
      </c>
      <c r="D72" s="21" t="s">
        <v>897</v>
      </c>
      <c r="E72" s="21" t="s">
        <v>51</v>
      </c>
      <c r="F72" s="21">
        <v>2022</v>
      </c>
      <c r="G72" s="51" t="s">
        <v>858</v>
      </c>
    </row>
    <row r="73" spans="2:9">
      <c r="B73" s="21" t="s">
        <v>898</v>
      </c>
      <c r="C73" s="40">
        <f>C20</f>
        <v>94.8</v>
      </c>
      <c r="D73" s="21" t="s">
        <v>897</v>
      </c>
      <c r="E73" s="21" t="s">
        <v>51</v>
      </c>
      <c r="F73" s="21">
        <v>2022</v>
      </c>
      <c r="G73" s="21" t="s">
        <v>129</v>
      </c>
    </row>
    <row r="74" spans="2:9">
      <c r="B74" s="21" t="s">
        <v>899</v>
      </c>
      <c r="C74" s="93">
        <v>102.1</v>
      </c>
      <c r="D74" s="21" t="s">
        <v>897</v>
      </c>
      <c r="E74" s="21" t="s">
        <v>51</v>
      </c>
      <c r="F74" s="21">
        <v>2022</v>
      </c>
      <c r="G74" s="51" t="s">
        <v>450</v>
      </c>
      <c r="H74" s="21" t="s">
        <v>900</v>
      </c>
    </row>
    <row r="75" spans="2:9">
      <c r="B75" s="21" t="s">
        <v>901</v>
      </c>
      <c r="C75" s="21">
        <v>99.3</v>
      </c>
      <c r="D75" s="21" t="s">
        <v>897</v>
      </c>
      <c r="E75" s="21" t="s">
        <v>51</v>
      </c>
      <c r="F75" s="21">
        <v>2022</v>
      </c>
      <c r="G75" s="51" t="s">
        <v>450</v>
      </c>
      <c r="H75" s="21" t="s">
        <v>900</v>
      </c>
    </row>
    <row r="76" spans="2:9">
      <c r="B76" s="21" t="s">
        <v>902</v>
      </c>
      <c r="C76" s="93">
        <v>57.2</v>
      </c>
      <c r="D76" s="21" t="s">
        <v>897</v>
      </c>
      <c r="E76" s="21" t="s">
        <v>51</v>
      </c>
      <c r="F76" s="21">
        <v>2022</v>
      </c>
      <c r="G76" s="51" t="s">
        <v>450</v>
      </c>
      <c r="H76" s="21" t="s">
        <v>900</v>
      </c>
    </row>
    <row r="77" spans="2:9">
      <c r="B77" s="21" t="s">
        <v>903</v>
      </c>
      <c r="C77" s="21">
        <v>55.3</v>
      </c>
      <c r="D77" s="21" t="s">
        <v>897</v>
      </c>
      <c r="E77" s="21" t="s">
        <v>51</v>
      </c>
      <c r="F77" s="21">
        <v>2022</v>
      </c>
      <c r="G77" s="51" t="s">
        <v>450</v>
      </c>
      <c r="H77" s="21" t="s">
        <v>900</v>
      </c>
    </row>
    <row r="78" spans="2:9">
      <c r="B78" s="21" t="s">
        <v>904</v>
      </c>
      <c r="C78" s="93">
        <v>24</v>
      </c>
      <c r="D78" s="21" t="s">
        <v>897</v>
      </c>
      <c r="E78" s="21" t="s">
        <v>51</v>
      </c>
      <c r="F78" s="21">
        <v>2022</v>
      </c>
      <c r="G78" s="51" t="s">
        <v>19</v>
      </c>
      <c r="H78" s="21" t="s">
        <v>905</v>
      </c>
    </row>
    <row r="79" spans="2:9">
      <c r="B79" s="21" t="s">
        <v>906</v>
      </c>
      <c r="C79" s="21">
        <v>24</v>
      </c>
      <c r="D79" s="21" t="s">
        <v>897</v>
      </c>
      <c r="E79" s="21" t="s">
        <v>51</v>
      </c>
      <c r="F79" s="21">
        <v>2022</v>
      </c>
      <c r="G79" s="51" t="s">
        <v>19</v>
      </c>
      <c r="H79" s="21" t="s">
        <v>905</v>
      </c>
    </row>
    <row r="81" spans="2:9" s="18" customFormat="1">
      <c r="B81" s="53" t="s">
        <v>370</v>
      </c>
      <c r="C81" s="53"/>
      <c r="D81" s="35"/>
      <c r="E81" s="35"/>
      <c r="F81" s="35"/>
      <c r="G81" s="35"/>
      <c r="H81" s="35"/>
      <c r="I81" s="35"/>
    </row>
  </sheetData>
  <hyperlinks>
    <hyperlink ref="G46" r:id="rId1" display="https://iea.blob.core.windows.net/assets/77ecf96c-5f4b-4d0d-9d93-d81b938217cb/World_Energy_Outlook_2018.pdf" xr:uid="{B2579D56-CC34-4B48-AB5A-97520B5F371D}"/>
    <hyperlink ref="G47" r:id="rId2" display="https://iea.blob.core.windows.net/assets/77ecf96c-5f4b-4d0d-9d93-d81b938217cb/World_Energy_Outlook_2018.pdf" xr:uid="{9D34E796-2586-4F99-88DC-A501EFC496B3}"/>
    <hyperlink ref="G48" r:id="rId3" display="https://iea.blob.core.windows.net/assets/77ecf96c-5f4b-4d0d-9d93-d81b938217cb/World_Energy_Outlook_2018.pdf" xr:uid="{3BEE93D5-6BBF-497B-9508-926A550C72AF}"/>
    <hyperlink ref="G29" r:id="rId4" display="https://www.iea.org/articles/methane-tracker-database" xr:uid="{1D3CDD4B-965A-4797-B40C-D856464BE03C}"/>
    <hyperlink ref="G30" r:id="rId5" display="https://www.iea.org/articles/methane-tracker-database" xr:uid="{D923A489-5747-44FD-B1C1-9D5B6551C3BD}"/>
    <hyperlink ref="G42" r:id="rId6" display="https://iea.blob.core.windows.net/assets/77ecf96c-5f4b-4d0d-9d93-d81b938217cb/World_Energy_Outlook_2018.pdf" xr:uid="{314B30E2-AEF4-4522-A9E3-54C13A77D2C3}"/>
    <hyperlink ref="G25" r:id="rId7" display="https://www.iea.org/articles/methane-tracker-database" xr:uid="{2273A60E-6D1D-469B-A68C-18CA6E0FF160}"/>
    <hyperlink ref="G27" r:id="rId8" display="https://www.iea.org/articles/methane-tracker-database" xr:uid="{03136944-8E86-4DF1-9E09-229B053B436C}"/>
    <hyperlink ref="G64" r:id="rId9" xr:uid="{320D923E-311E-483C-ADE0-7493B3D9B99D}"/>
    <hyperlink ref="G21" r:id="rId10" xr:uid="{B9600D63-2A36-43F8-B53E-EB2178271AB1}"/>
    <hyperlink ref="G13" r:id="rId11" display="https://www.iea.org/articles/methane-tracker-database" xr:uid="{A20DBC6B-E515-4CCE-874E-77A968F070E5}"/>
    <hyperlink ref="G14" r:id="rId12" xr:uid="{47171A78-F32F-44C3-945B-FC18112E18A3}"/>
    <hyperlink ref="G74" r:id="rId13" xr:uid="{AD838B41-B163-4B31-BF12-0DDE6BAC998B}"/>
    <hyperlink ref="G75" r:id="rId14" xr:uid="{93EB8DB2-FA6B-4634-918C-5633F67D92C9}"/>
    <hyperlink ref="G20" r:id="rId15" xr:uid="{2FD64716-88F4-4048-9CC8-B8E3F80694A9}"/>
    <hyperlink ref="G44" r:id="rId16" xr:uid="{D084FCE3-EBE4-4774-ACE0-F506D6656C3B}"/>
    <hyperlink ref="G10" r:id="rId17" xr:uid="{4299334C-76FC-4473-BE92-D92F9746169C}"/>
    <hyperlink ref="G23" r:id="rId18" xr:uid="{091D7093-5770-45D1-9040-D83A1C519A96}"/>
    <hyperlink ref="G36" r:id="rId19" xr:uid="{43D5FBB7-B004-4530-AA26-F132706ABB43}"/>
    <hyperlink ref="G72" r:id="rId20" xr:uid="{9BBF98C5-B3FB-4D09-9C56-2786C0F9A89F}"/>
    <hyperlink ref="G76" r:id="rId21" xr:uid="{C6D45618-350C-4E8D-BE8D-1D1BDEC41CDC}"/>
    <hyperlink ref="G77" r:id="rId22" xr:uid="{1CAE06A3-3B06-47C6-91DE-369EDCB32F1A}"/>
    <hyperlink ref="G55" r:id="rId23" xr:uid="{D9A925E6-CAAF-460A-8D02-E0C832A4EC16}"/>
    <hyperlink ref="G78" r:id="rId24" xr:uid="{104FDE7E-6A87-4E75-8218-B74E807959C6}"/>
    <hyperlink ref="G79" r:id="rId25" xr:uid="{D5F1CB6B-71E9-409D-8EB9-D4E13DF0FD85}"/>
  </hyperlinks>
  <pageMargins left="0.7" right="0.7" top="0.75" bottom="0.75" header="0.3" footer="0.3"/>
  <pageSetup orientation="portrait" r:id="rId2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D8E3-190B-4E37-B646-A98A143519BD}">
  <sheetPr codeName="Sheet15">
    <tabColor rgb="FFAC2AAC"/>
  </sheetPr>
  <dimension ref="A1:I151"/>
  <sheetViews>
    <sheetView showGridLines="0" zoomScale="70" zoomScaleNormal="70" workbookViewId="0">
      <selection activeCell="D153" sqref="D153"/>
    </sheetView>
  </sheetViews>
  <sheetFormatPr baseColWidth="10" defaultColWidth="8.83203125" defaultRowHeight="15"/>
  <cols>
    <col min="2" max="2" width="49.83203125" style="21" customWidth="1"/>
    <col min="3" max="3" width="29.1640625" style="21" customWidth="1"/>
    <col min="4" max="4" width="11.1640625" style="21" customWidth="1"/>
    <col min="5" max="5" width="22.83203125" style="21" customWidth="1"/>
    <col min="6" max="6" width="11.83203125" style="21" customWidth="1"/>
    <col min="7" max="7" width="39.83203125" style="21" customWidth="1"/>
    <col min="8" max="8" width="27.5" style="21" customWidth="1"/>
    <col min="9" max="9" width="33.83203125" style="21" customWidth="1"/>
  </cols>
  <sheetData>
    <row r="1" spans="1:9" s="1" customFormat="1">
      <c r="B1" s="2"/>
      <c r="C1" s="2"/>
      <c r="D1" s="2"/>
      <c r="E1" s="2"/>
      <c r="F1" s="2"/>
      <c r="G1" s="2"/>
      <c r="H1" s="2"/>
      <c r="I1" s="2"/>
    </row>
    <row r="2" spans="1:9" s="1" customFormat="1" ht="15" customHeight="1">
      <c r="B2" s="19" t="s">
        <v>371</v>
      </c>
      <c r="C2" s="19"/>
      <c r="D2" s="2"/>
      <c r="E2" s="2"/>
      <c r="F2" s="2"/>
      <c r="G2" s="2"/>
      <c r="H2" s="2"/>
      <c r="I2" s="2"/>
    </row>
    <row r="3" spans="1:9" s="1" customFormat="1" ht="15" customHeight="1">
      <c r="B3" s="19" t="s">
        <v>907</v>
      </c>
      <c r="C3" s="19"/>
      <c r="D3" s="2"/>
      <c r="E3" s="2"/>
      <c r="F3" s="2"/>
      <c r="G3" s="2"/>
      <c r="H3" s="2"/>
      <c r="I3" s="2"/>
    </row>
    <row r="4" spans="1:9" s="4" customFormat="1" ht="15" customHeight="1" thickBot="1">
      <c r="B4" s="5"/>
      <c r="C4" s="5"/>
      <c r="D4" s="5"/>
      <c r="E4" s="5"/>
      <c r="F4" s="5"/>
      <c r="G4" s="5"/>
      <c r="H4" s="5"/>
      <c r="I4" s="5"/>
    </row>
    <row r="5" spans="1:9">
      <c r="B5" s="25" t="s">
        <v>1509</v>
      </c>
    </row>
    <row r="6" spans="1:9" ht="14.25" customHeight="1">
      <c r="B6" s="38"/>
      <c r="C6" s="38"/>
    </row>
    <row r="7" spans="1:9">
      <c r="A7" s="9">
        <v>1</v>
      </c>
      <c r="B7" s="53" t="s">
        <v>71</v>
      </c>
      <c r="C7" s="53"/>
      <c r="D7" s="35"/>
      <c r="E7" s="35"/>
      <c r="F7" s="35"/>
      <c r="G7" s="35"/>
      <c r="H7" s="35"/>
      <c r="I7" s="35"/>
    </row>
    <row r="8" spans="1:9">
      <c r="B8" s="24" t="s">
        <v>47</v>
      </c>
      <c r="C8" s="24" t="s">
        <v>48</v>
      </c>
      <c r="D8" s="24" t="s">
        <v>49</v>
      </c>
      <c r="E8" s="24" t="s">
        <v>28</v>
      </c>
      <c r="F8" s="24" t="s">
        <v>50</v>
      </c>
      <c r="G8" s="24" t="s">
        <v>29</v>
      </c>
      <c r="H8" s="24" t="s">
        <v>122</v>
      </c>
      <c r="I8" s="24" t="s">
        <v>123</v>
      </c>
    </row>
    <row r="9" spans="1:9">
      <c r="B9" s="25" t="s">
        <v>909</v>
      </c>
      <c r="C9" s="25"/>
    </row>
    <row r="10" spans="1:9">
      <c r="B10" s="21" t="s">
        <v>99</v>
      </c>
      <c r="C10" s="93" t="s">
        <v>910</v>
      </c>
      <c r="D10" s="21" t="s">
        <v>52</v>
      </c>
      <c r="E10" s="21" t="s">
        <v>51</v>
      </c>
      <c r="F10" s="21">
        <v>2020</v>
      </c>
      <c r="G10" s="51" t="s">
        <v>855</v>
      </c>
    </row>
    <row r="11" spans="1:9">
      <c r="B11" s="21" t="s">
        <v>102</v>
      </c>
      <c r="C11" s="93" t="s">
        <v>910</v>
      </c>
      <c r="D11" s="21" t="s">
        <v>52</v>
      </c>
      <c r="E11" s="21" t="s">
        <v>51</v>
      </c>
      <c r="F11" s="21">
        <v>2020</v>
      </c>
      <c r="G11" s="51" t="s">
        <v>911</v>
      </c>
    </row>
    <row r="12" spans="1:9">
      <c r="B12" s="21" t="s">
        <v>103</v>
      </c>
      <c r="C12" s="93" t="s">
        <v>910</v>
      </c>
      <c r="D12" s="21" t="s">
        <v>52</v>
      </c>
      <c r="F12" s="21" t="s">
        <v>52</v>
      </c>
      <c r="I12" s="21" t="s">
        <v>912</v>
      </c>
    </row>
    <row r="13" spans="1:9">
      <c r="B13" s="21" t="s">
        <v>80</v>
      </c>
      <c r="C13" s="211" t="s">
        <v>913</v>
      </c>
      <c r="D13" s="21" t="s">
        <v>52</v>
      </c>
      <c r="E13" s="21" t="s">
        <v>51</v>
      </c>
      <c r="F13" s="21">
        <v>2020</v>
      </c>
      <c r="G13" s="51" t="s">
        <v>914</v>
      </c>
    </row>
    <row r="14" spans="1:9">
      <c r="B14" s="21" t="s">
        <v>104</v>
      </c>
      <c r="C14" s="211" t="s">
        <v>915</v>
      </c>
      <c r="D14" s="21" t="s">
        <v>52</v>
      </c>
      <c r="E14" s="21" t="s">
        <v>51</v>
      </c>
      <c r="F14" s="21">
        <v>2020</v>
      </c>
      <c r="G14" s="21" t="s">
        <v>129</v>
      </c>
      <c r="I14" s="21" t="s">
        <v>916</v>
      </c>
    </row>
    <row r="15" spans="1:9">
      <c r="B15" s="21" t="s">
        <v>75</v>
      </c>
      <c r="C15" s="211" t="s">
        <v>915</v>
      </c>
      <c r="D15" s="21" t="s">
        <v>52</v>
      </c>
      <c r="E15" s="21" t="s">
        <v>51</v>
      </c>
      <c r="F15" s="21">
        <v>2020</v>
      </c>
      <c r="G15" s="21" t="s">
        <v>129</v>
      </c>
      <c r="I15" s="21" t="s">
        <v>917</v>
      </c>
    </row>
    <row r="17" spans="2:9">
      <c r="B17" s="25" t="s">
        <v>429</v>
      </c>
      <c r="C17" s="25"/>
    </row>
    <row r="18" spans="2:9">
      <c r="B18" s="21" t="s">
        <v>918</v>
      </c>
      <c r="D18" s="21" t="s">
        <v>52</v>
      </c>
      <c r="E18" s="21" t="s">
        <v>51</v>
      </c>
      <c r="F18" s="21">
        <v>2022</v>
      </c>
      <c r="G18" s="51" t="s">
        <v>855</v>
      </c>
      <c r="I18" s="21" t="s">
        <v>919</v>
      </c>
    </row>
    <row r="19" spans="2:9">
      <c r="B19" s="20" t="s">
        <v>920</v>
      </c>
      <c r="C19" s="127">
        <v>0.36</v>
      </c>
      <c r="G19" s="51"/>
    </row>
    <row r="20" spans="2:9">
      <c r="B20" s="20" t="s">
        <v>921</v>
      </c>
      <c r="C20" s="127">
        <v>0.4</v>
      </c>
      <c r="G20" s="51"/>
    </row>
    <row r="21" spans="2:9">
      <c r="B21" s="20" t="s">
        <v>922</v>
      </c>
      <c r="C21" s="127">
        <v>0.24</v>
      </c>
      <c r="G21" s="51"/>
    </row>
    <row r="22" spans="2:9">
      <c r="B22" s="21" t="s">
        <v>102</v>
      </c>
      <c r="C22" s="44">
        <v>0.08</v>
      </c>
      <c r="D22" s="21" t="s">
        <v>52</v>
      </c>
      <c r="E22" s="21" t="s">
        <v>51</v>
      </c>
      <c r="F22" s="21">
        <v>2022</v>
      </c>
      <c r="G22" s="51" t="s">
        <v>911</v>
      </c>
      <c r="I22" s="21" t="s">
        <v>923</v>
      </c>
    </row>
    <row r="23" spans="2:9">
      <c r="B23" s="21" t="s">
        <v>103</v>
      </c>
      <c r="C23" s="44">
        <v>0.13</v>
      </c>
      <c r="D23" s="21" t="s">
        <v>52</v>
      </c>
      <c r="I23" s="21" t="s">
        <v>924</v>
      </c>
    </row>
    <row r="24" spans="2:9">
      <c r="B24" s="21" t="s">
        <v>80</v>
      </c>
      <c r="C24" s="44">
        <v>0.24299999999999999</v>
      </c>
      <c r="D24" s="21" t="s">
        <v>52</v>
      </c>
      <c r="E24" s="21" t="s">
        <v>925</v>
      </c>
      <c r="F24" s="21">
        <v>2017</v>
      </c>
      <c r="G24" s="51" t="s">
        <v>926</v>
      </c>
    </row>
    <row r="25" spans="2:9">
      <c r="B25" s="21" t="s">
        <v>927</v>
      </c>
      <c r="C25" s="44">
        <v>0.1</v>
      </c>
      <c r="D25" s="21" t="s">
        <v>52</v>
      </c>
      <c r="E25" s="21" t="s">
        <v>928</v>
      </c>
      <c r="F25" s="21">
        <v>2017</v>
      </c>
      <c r="G25" s="51" t="s">
        <v>926</v>
      </c>
    </row>
    <row r="26" spans="2:9">
      <c r="B26" s="21" t="s">
        <v>929</v>
      </c>
      <c r="C26" s="44">
        <v>0.15</v>
      </c>
      <c r="D26" s="21" t="s">
        <v>52</v>
      </c>
      <c r="E26" s="21" t="s">
        <v>928</v>
      </c>
      <c r="F26" s="21">
        <v>2017</v>
      </c>
      <c r="G26" s="51" t="s">
        <v>926</v>
      </c>
    </row>
    <row r="28" spans="2:9">
      <c r="B28" s="25" t="s">
        <v>930</v>
      </c>
      <c r="C28" s="25"/>
    </row>
    <row r="29" spans="2:9">
      <c r="B29" s="21" t="s">
        <v>931</v>
      </c>
      <c r="C29" s="21">
        <v>46</v>
      </c>
      <c r="D29" s="21" t="s">
        <v>932</v>
      </c>
      <c r="E29" s="21" t="s">
        <v>933</v>
      </c>
      <c r="G29" t="s">
        <v>934</v>
      </c>
    </row>
    <row r="30" spans="2:9">
      <c r="B30" s="21" t="s">
        <v>918</v>
      </c>
      <c r="C30" s="21">
        <v>0</v>
      </c>
      <c r="E30" s="21" t="s">
        <v>51</v>
      </c>
      <c r="F30" s="21">
        <v>2020</v>
      </c>
      <c r="G30" s="51" t="s">
        <v>855</v>
      </c>
    </row>
    <row r="31" spans="2:9">
      <c r="B31" s="21" t="s">
        <v>102</v>
      </c>
      <c r="C31" s="74" t="s">
        <v>438</v>
      </c>
      <c r="E31" s="21" t="s">
        <v>935</v>
      </c>
      <c r="F31" s="21">
        <v>2022</v>
      </c>
      <c r="G31" s="51" t="s">
        <v>936</v>
      </c>
    </row>
    <row r="32" spans="2:9">
      <c r="B32" s="21" t="s">
        <v>103</v>
      </c>
      <c r="C32" s="68">
        <v>5.0000000000000001E-3</v>
      </c>
      <c r="E32" s="21" t="s">
        <v>937</v>
      </c>
      <c r="F32" s="21">
        <v>2017</v>
      </c>
      <c r="G32" s="51" t="s">
        <v>938</v>
      </c>
    </row>
    <row r="33" spans="1:9">
      <c r="B33" s="21" t="s">
        <v>80</v>
      </c>
      <c r="C33" s="68">
        <v>7.4999999999999997E-2</v>
      </c>
      <c r="E33" s="21" t="s">
        <v>928</v>
      </c>
      <c r="F33" s="21">
        <v>2017</v>
      </c>
      <c r="G33" s="51" t="s">
        <v>939</v>
      </c>
    </row>
    <row r="34" spans="1:9">
      <c r="B34" s="21" t="s">
        <v>104</v>
      </c>
      <c r="C34" s="68">
        <v>0.06</v>
      </c>
      <c r="E34" s="21" t="s">
        <v>928</v>
      </c>
      <c r="F34" s="21">
        <v>2017</v>
      </c>
      <c r="G34" s="21" t="s">
        <v>129</v>
      </c>
    </row>
    <row r="35" spans="1:9">
      <c r="B35" s="21" t="s">
        <v>75</v>
      </c>
      <c r="C35" s="68">
        <v>0.09</v>
      </c>
      <c r="E35" s="21" t="s">
        <v>928</v>
      </c>
      <c r="F35" s="21">
        <v>2017</v>
      </c>
      <c r="G35" s="21" t="s">
        <v>129</v>
      </c>
    </row>
    <row r="38" spans="1:9">
      <c r="B38" s="25" t="s">
        <v>236</v>
      </c>
      <c r="C38" s="25"/>
    </row>
    <row r="39" spans="1:9">
      <c r="B39" s="21" t="s">
        <v>918</v>
      </c>
      <c r="C39" s="21" t="s">
        <v>52</v>
      </c>
      <c r="D39" s="21" t="s">
        <v>52</v>
      </c>
      <c r="E39" s="21" t="s">
        <v>52</v>
      </c>
      <c r="F39" s="21" t="s">
        <v>52</v>
      </c>
      <c r="G39" s="21" t="s">
        <v>52</v>
      </c>
    </row>
    <row r="40" spans="1:9">
      <c r="B40" s="21" t="s">
        <v>102</v>
      </c>
      <c r="C40" s="21" t="s">
        <v>52</v>
      </c>
      <c r="D40" s="21" t="s">
        <v>52</v>
      </c>
      <c r="E40" s="21" t="s">
        <v>52</v>
      </c>
      <c r="F40" s="21" t="s">
        <v>52</v>
      </c>
      <c r="G40" s="21" t="s">
        <v>52</v>
      </c>
    </row>
    <row r="41" spans="1:9">
      <c r="B41" s="21" t="s">
        <v>103</v>
      </c>
      <c r="C41" s="21" t="s">
        <v>52</v>
      </c>
      <c r="D41" s="21" t="s">
        <v>52</v>
      </c>
      <c r="E41" s="21" t="s">
        <v>52</v>
      </c>
      <c r="F41" s="21" t="s">
        <v>52</v>
      </c>
      <c r="G41" s="21" t="s">
        <v>52</v>
      </c>
    </row>
    <row r="42" spans="1:9">
      <c r="B42" s="21" t="s">
        <v>80</v>
      </c>
      <c r="C42" s="45" t="s">
        <v>484</v>
      </c>
      <c r="D42" s="21" t="s">
        <v>33</v>
      </c>
      <c r="E42" s="21" t="s">
        <v>298</v>
      </c>
      <c r="G42" s="21" t="s">
        <v>503</v>
      </c>
    </row>
    <row r="43" spans="1:9">
      <c r="B43" s="21" t="s">
        <v>104</v>
      </c>
      <c r="C43" s="21">
        <v>0</v>
      </c>
    </row>
    <row r="44" spans="1:9">
      <c r="B44" s="21" t="s">
        <v>75</v>
      </c>
      <c r="C44" s="21">
        <v>0</v>
      </c>
    </row>
    <row r="45" spans="1:9">
      <c r="B45" s="25" t="s">
        <v>599</v>
      </c>
      <c r="C45" s="105" t="s">
        <v>940</v>
      </c>
      <c r="I45" s="21" t="s">
        <v>941</v>
      </c>
    </row>
    <row r="47" spans="1:9">
      <c r="A47" s="9">
        <v>2</v>
      </c>
      <c r="B47" s="53" t="s">
        <v>82</v>
      </c>
      <c r="C47" s="53"/>
      <c r="D47" s="35"/>
      <c r="E47" s="35"/>
      <c r="F47" s="35"/>
      <c r="G47" s="35"/>
      <c r="H47" s="35"/>
      <c r="I47" s="35"/>
    </row>
    <row r="48" spans="1:9">
      <c r="B48" s="24" t="s">
        <v>47</v>
      </c>
      <c r="C48" s="24" t="s">
        <v>48</v>
      </c>
      <c r="D48" s="24" t="s">
        <v>49</v>
      </c>
      <c r="E48" s="24" t="s">
        <v>28</v>
      </c>
      <c r="F48" s="24" t="s">
        <v>50</v>
      </c>
      <c r="G48" s="24" t="s">
        <v>29</v>
      </c>
      <c r="H48" s="24" t="s">
        <v>122</v>
      </c>
      <c r="I48" s="24" t="s">
        <v>123</v>
      </c>
    </row>
    <row r="50" spans="2:9">
      <c r="B50" s="21" t="s">
        <v>240</v>
      </c>
      <c r="C50" s="21">
        <v>24</v>
      </c>
      <c r="D50" s="21" t="s">
        <v>857</v>
      </c>
      <c r="E50" s="21" t="s">
        <v>51</v>
      </c>
      <c r="F50" s="21">
        <v>2022</v>
      </c>
      <c r="G50" s="51" t="s">
        <v>450</v>
      </c>
      <c r="H50" s="21" t="s">
        <v>900</v>
      </c>
    </row>
    <row r="51" spans="2:9">
      <c r="B51" s="21" t="s">
        <v>99</v>
      </c>
      <c r="C51" s="44">
        <v>1</v>
      </c>
      <c r="D51" s="21" t="s">
        <v>33</v>
      </c>
      <c r="E51" s="21" t="s">
        <v>51</v>
      </c>
      <c r="G51" s="21" t="s">
        <v>129</v>
      </c>
    </row>
    <row r="52" spans="2:9">
      <c r="B52" s="21" t="s">
        <v>102</v>
      </c>
      <c r="C52" s="44">
        <v>1</v>
      </c>
      <c r="D52" s="21" t="s">
        <v>33</v>
      </c>
      <c r="E52" s="21" t="s">
        <v>51</v>
      </c>
      <c r="G52" s="21" t="s">
        <v>129</v>
      </c>
    </row>
    <row r="53" spans="2:9">
      <c r="B53" s="21" t="s">
        <v>103</v>
      </c>
      <c r="C53" s="44">
        <v>1</v>
      </c>
      <c r="D53" s="21" t="s">
        <v>33</v>
      </c>
      <c r="E53" s="21" t="s">
        <v>912</v>
      </c>
      <c r="G53" s="51"/>
      <c r="I53" s="21" t="s">
        <v>912</v>
      </c>
    </row>
    <row r="54" spans="2:9">
      <c r="B54" s="21" t="s">
        <v>80</v>
      </c>
      <c r="C54" s="44">
        <v>0.56000000000000005</v>
      </c>
      <c r="D54" s="21" t="s">
        <v>33</v>
      </c>
      <c r="E54" s="21" t="s">
        <v>928</v>
      </c>
      <c r="G54" s="51" t="s">
        <v>939</v>
      </c>
    </row>
    <row r="55" spans="2:9">
      <c r="B55" s="21" t="s">
        <v>104</v>
      </c>
      <c r="C55" s="44">
        <v>0.11</v>
      </c>
      <c r="D55" s="21" t="s">
        <v>33</v>
      </c>
      <c r="E55" s="21" t="s">
        <v>928</v>
      </c>
      <c r="G55" s="51" t="s">
        <v>939</v>
      </c>
    </row>
    <row r="56" spans="2:9">
      <c r="B56" s="21" t="s">
        <v>942</v>
      </c>
      <c r="C56" s="44">
        <v>0.33</v>
      </c>
      <c r="D56" s="21" t="s">
        <v>33</v>
      </c>
      <c r="E56" s="21" t="s">
        <v>928</v>
      </c>
      <c r="G56" s="51" t="s">
        <v>939</v>
      </c>
    </row>
    <row r="57" spans="2:9">
      <c r="G57" s="51"/>
    </row>
    <row r="58" spans="2:9">
      <c r="B58" s="25" t="s">
        <v>254</v>
      </c>
      <c r="C58" s="25"/>
      <c r="G58" s="51"/>
    </row>
    <row r="59" spans="2:9">
      <c r="B59" s="21" t="s">
        <v>616</v>
      </c>
      <c r="C59" s="59">
        <v>0.32</v>
      </c>
      <c r="D59" s="21" t="s">
        <v>33</v>
      </c>
      <c r="E59" s="21" t="s">
        <v>51</v>
      </c>
      <c r="F59" s="21">
        <v>2022</v>
      </c>
      <c r="G59" s="51" t="s">
        <v>19</v>
      </c>
      <c r="H59" s="21" t="s">
        <v>265</v>
      </c>
    </row>
    <row r="60" spans="2:9">
      <c r="B60" s="21" t="s">
        <v>943</v>
      </c>
      <c r="C60" s="49">
        <f>C50*C61/24/C59</f>
        <v>7.46875</v>
      </c>
      <c r="D60" s="21" t="s">
        <v>43</v>
      </c>
      <c r="E60" s="21" t="s">
        <v>944</v>
      </c>
    </row>
    <row r="61" spans="2:9">
      <c r="B61" s="21" t="s">
        <v>945</v>
      </c>
      <c r="C61" s="21">
        <v>2.39</v>
      </c>
      <c r="D61" s="21" t="s">
        <v>946</v>
      </c>
      <c r="E61" s="21" t="s">
        <v>937</v>
      </c>
      <c r="G61" s="51" t="s">
        <v>938</v>
      </c>
    </row>
    <row r="62" spans="2:9">
      <c r="B62" s="21" t="s">
        <v>947</v>
      </c>
      <c r="C62" s="49">
        <f>C63*C50/83/365/24*1000*C55/C59</f>
        <v>12.481432579633601</v>
      </c>
      <c r="D62" s="21" t="s">
        <v>43</v>
      </c>
      <c r="E62" s="21" t="s">
        <v>944</v>
      </c>
      <c r="G62" s="51"/>
    </row>
    <row r="63" spans="2:9">
      <c r="B63" s="21" t="s">
        <v>948</v>
      </c>
      <c r="C63" s="21">
        <v>1100</v>
      </c>
      <c r="D63" s="21" t="s">
        <v>949</v>
      </c>
      <c r="E63" s="21" t="s">
        <v>950</v>
      </c>
      <c r="F63" s="21">
        <v>2020</v>
      </c>
      <c r="G63" s="51" t="s">
        <v>951</v>
      </c>
    </row>
    <row r="64" spans="2:9" ht="22.5" customHeight="1">
      <c r="B64" s="40" t="s">
        <v>618</v>
      </c>
      <c r="C64" s="98">
        <f>(C60+C62)*C65</f>
        <v>38.90285603028552</v>
      </c>
      <c r="D64" s="20" t="s">
        <v>53</v>
      </c>
      <c r="E64" s="21" t="s">
        <v>944</v>
      </c>
      <c r="G64" s="51"/>
    </row>
    <row r="65" spans="2:9">
      <c r="B65" s="40" t="s">
        <v>258</v>
      </c>
      <c r="C65" s="46">
        <v>1.95</v>
      </c>
      <c r="D65" s="40" t="s">
        <v>259</v>
      </c>
      <c r="E65" s="21" t="s">
        <v>260</v>
      </c>
      <c r="F65" s="21">
        <v>2021</v>
      </c>
      <c r="G65" s="51" t="s">
        <v>261</v>
      </c>
      <c r="H65" s="21" t="s">
        <v>262</v>
      </c>
      <c r="I65" s="21" t="s">
        <v>263</v>
      </c>
    </row>
    <row r="66" spans="2:9">
      <c r="B66" s="40" t="s">
        <v>264</v>
      </c>
      <c r="C66" s="84" t="s">
        <v>52</v>
      </c>
      <c r="D66" s="40" t="s">
        <v>33</v>
      </c>
      <c r="E66" s="21" t="s">
        <v>51</v>
      </c>
      <c r="F66" s="21">
        <v>2022</v>
      </c>
      <c r="G66" s="51" t="s">
        <v>19</v>
      </c>
      <c r="H66" s="21" t="s">
        <v>265</v>
      </c>
      <c r="I66" s="21" t="s">
        <v>447</v>
      </c>
    </row>
    <row r="67" spans="2:9">
      <c r="B67" s="21" t="s">
        <v>266</v>
      </c>
      <c r="C67" s="21">
        <v>4.5</v>
      </c>
      <c r="D67" s="21" t="s">
        <v>267</v>
      </c>
      <c r="E67" s="21" t="s">
        <v>268</v>
      </c>
      <c r="F67" s="21">
        <v>2020</v>
      </c>
      <c r="G67" s="51" t="s">
        <v>269</v>
      </c>
      <c r="H67" s="21" t="s">
        <v>270</v>
      </c>
      <c r="I67" s="21" t="s">
        <v>271</v>
      </c>
    </row>
    <row r="68" spans="2:9">
      <c r="G68" s="51"/>
    </row>
    <row r="70" spans="2:9">
      <c r="B70" s="25" t="s">
        <v>274</v>
      </c>
      <c r="C70" s="25"/>
    </row>
    <row r="71" spans="2:9">
      <c r="B71" s="21" t="s">
        <v>952</v>
      </c>
      <c r="C71" s="93">
        <v>5</v>
      </c>
      <c r="D71" s="21" t="s">
        <v>44</v>
      </c>
      <c r="E71" s="21" t="s">
        <v>51</v>
      </c>
      <c r="F71" s="21">
        <v>2021</v>
      </c>
      <c r="G71" s="51" t="s">
        <v>953</v>
      </c>
      <c r="I71" s="21" t="s">
        <v>954</v>
      </c>
    </row>
    <row r="72" spans="2:9">
      <c r="B72" s="28" t="s">
        <v>955</v>
      </c>
      <c r="C72" s="49">
        <f>C75/C76</f>
        <v>3.1239242685025816</v>
      </c>
      <c r="D72" s="21" t="s">
        <v>44</v>
      </c>
    </row>
    <row r="73" spans="2:9">
      <c r="B73" s="28" t="s">
        <v>948</v>
      </c>
      <c r="C73" s="21">
        <v>1100</v>
      </c>
      <c r="D73" s="21" t="s">
        <v>949</v>
      </c>
      <c r="G73" s="51" t="s">
        <v>951</v>
      </c>
    </row>
    <row r="74" spans="2:9">
      <c r="B74" s="28" t="s">
        <v>956</v>
      </c>
      <c r="C74" s="149">
        <f>C73*C50/83</f>
        <v>318.07228915662648</v>
      </c>
      <c r="D74" s="21" t="s">
        <v>949</v>
      </c>
      <c r="G74" s="51"/>
    </row>
    <row r="75" spans="2:9">
      <c r="B75" s="28" t="s">
        <v>957</v>
      </c>
      <c r="C75" s="149">
        <f>C74*C56</f>
        <v>104.96385542168674</v>
      </c>
      <c r="D75" s="21" t="s">
        <v>949</v>
      </c>
    </row>
    <row r="76" spans="2:9">
      <c r="B76" s="28" t="s">
        <v>958</v>
      </c>
      <c r="C76" s="21">
        <v>33.6</v>
      </c>
      <c r="D76" s="21" t="s">
        <v>959</v>
      </c>
      <c r="E76" s="21" t="s">
        <v>881</v>
      </c>
      <c r="G76" s="51" t="s">
        <v>960</v>
      </c>
    </row>
    <row r="77" spans="2:9">
      <c r="B77" s="40" t="s">
        <v>280</v>
      </c>
      <c r="C77" s="95">
        <f>(C71+C72)*C79</f>
        <v>97.487091222030969</v>
      </c>
      <c r="D77" s="21" t="s">
        <v>53</v>
      </c>
      <c r="G77" s="51"/>
    </row>
    <row r="78" spans="2:9">
      <c r="B78" s="40" t="s">
        <v>282</v>
      </c>
      <c r="C78" s="95">
        <f>(C71+C72)*C80</f>
        <v>32.495697074010323</v>
      </c>
      <c r="D78" s="21" t="s">
        <v>53</v>
      </c>
      <c r="G78" s="51"/>
    </row>
    <row r="79" spans="2:9">
      <c r="B79" s="40" t="s">
        <v>283</v>
      </c>
      <c r="C79" s="21">
        <v>12</v>
      </c>
      <c r="D79" s="40" t="s">
        <v>284</v>
      </c>
      <c r="E79" s="21" t="s">
        <v>285</v>
      </c>
      <c r="F79" s="21">
        <v>2021</v>
      </c>
      <c r="G79" s="27" t="s">
        <v>52</v>
      </c>
      <c r="H79" s="27" t="s">
        <v>52</v>
      </c>
      <c r="I79" s="27" t="s">
        <v>286</v>
      </c>
    </row>
    <row r="80" spans="2:9">
      <c r="B80" s="40" t="s">
        <v>287</v>
      </c>
      <c r="C80" s="21">
        <v>4</v>
      </c>
      <c r="D80" s="40" t="s">
        <v>284</v>
      </c>
      <c r="E80" s="21" t="s">
        <v>285</v>
      </c>
      <c r="F80" s="21">
        <v>2021</v>
      </c>
      <c r="G80" s="27" t="s">
        <v>52</v>
      </c>
      <c r="H80" s="27" t="s">
        <v>52</v>
      </c>
      <c r="I80" s="27" t="s">
        <v>286</v>
      </c>
    </row>
    <row r="82" spans="1:9">
      <c r="B82" s="162" t="s">
        <v>1508</v>
      </c>
      <c r="C82" s="25"/>
    </row>
    <row r="83" spans="1:9">
      <c r="B83" s="162" t="s">
        <v>443</v>
      </c>
      <c r="C83" s="55">
        <f>C84*C54*C50*365/1000</f>
        <v>179.30278481012658</v>
      </c>
      <c r="D83" s="21" t="s">
        <v>44</v>
      </c>
    </row>
    <row r="84" spans="1:9">
      <c r="B84" s="131" t="s">
        <v>961</v>
      </c>
      <c r="C84" s="55">
        <f>'OIL-P'!C39</f>
        <v>36.550632911392405</v>
      </c>
      <c r="D84" s="21" t="s">
        <v>962</v>
      </c>
      <c r="G84" s="21" t="s">
        <v>963</v>
      </c>
    </row>
    <row r="85" spans="1:9">
      <c r="B85" s="162" t="s">
        <v>1507</v>
      </c>
      <c r="C85" s="21">
        <v>175</v>
      </c>
      <c r="D85" s="21" t="s">
        <v>964</v>
      </c>
      <c r="E85" s="21" t="s">
        <v>298</v>
      </c>
      <c r="G85" s="21" t="s">
        <v>299</v>
      </c>
      <c r="H85" s="21" t="s">
        <v>300</v>
      </c>
      <c r="I85" s="21" t="s">
        <v>301</v>
      </c>
    </row>
    <row r="86" spans="1:9">
      <c r="B86" s="162" t="s">
        <v>1506</v>
      </c>
      <c r="C86" s="21">
        <v>80</v>
      </c>
      <c r="D86" s="21" t="s">
        <v>964</v>
      </c>
      <c r="E86" s="21" t="s">
        <v>298</v>
      </c>
      <c r="G86" s="21" t="s">
        <v>299</v>
      </c>
      <c r="H86" s="21" t="s">
        <v>300</v>
      </c>
      <c r="I86" s="21" t="s">
        <v>303</v>
      </c>
    </row>
    <row r="87" spans="1:9">
      <c r="B87" s="131" t="s">
        <v>1504</v>
      </c>
      <c r="C87" s="95">
        <f>C83*C85/1000</f>
        <v>31.377987341772151</v>
      </c>
      <c r="D87" s="21" t="s">
        <v>53</v>
      </c>
    </row>
    <row r="88" spans="1:9">
      <c r="B88" s="131" t="s">
        <v>1505</v>
      </c>
      <c r="C88" s="95">
        <f>C83*C86/1000</f>
        <v>14.344222784810126</v>
      </c>
      <c r="D88" s="21" t="s">
        <v>53</v>
      </c>
    </row>
    <row r="90" spans="1:9">
      <c r="A90" s="9">
        <v>3</v>
      </c>
      <c r="B90" s="53" t="s">
        <v>62</v>
      </c>
      <c r="C90" s="53"/>
      <c r="D90" s="35"/>
      <c r="E90" s="35"/>
      <c r="F90" s="35"/>
      <c r="G90" s="35"/>
      <c r="H90" s="35"/>
      <c r="I90" s="35"/>
    </row>
    <row r="91" spans="1:9">
      <c r="B91" s="24" t="s">
        <v>47</v>
      </c>
      <c r="C91" s="24" t="s">
        <v>48</v>
      </c>
      <c r="D91" s="24" t="s">
        <v>49</v>
      </c>
      <c r="E91" s="24" t="s">
        <v>28</v>
      </c>
      <c r="F91" s="24" t="s">
        <v>50</v>
      </c>
      <c r="G91" s="24" t="s">
        <v>29</v>
      </c>
      <c r="H91" s="24" t="s">
        <v>122</v>
      </c>
      <c r="I91" s="24" t="s">
        <v>123</v>
      </c>
    </row>
    <row r="92" spans="1:9">
      <c r="B92" s="21" t="s">
        <v>304</v>
      </c>
    </row>
    <row r="93" spans="1:9">
      <c r="B93" s="21" t="s">
        <v>965</v>
      </c>
      <c r="C93" s="69">
        <v>0</v>
      </c>
      <c r="D93" s="21" t="s">
        <v>33</v>
      </c>
      <c r="E93" s="21" t="s">
        <v>52</v>
      </c>
      <c r="F93" s="21" t="s">
        <v>52</v>
      </c>
      <c r="G93" s="21" t="s">
        <v>52</v>
      </c>
      <c r="I93" s="21" t="s">
        <v>912</v>
      </c>
    </row>
    <row r="94" spans="1:9">
      <c r="B94" s="21" t="s">
        <v>966</v>
      </c>
      <c r="C94" s="49">
        <f>C95*C96/100</f>
        <v>1.9</v>
      </c>
      <c r="D94" s="21" t="s">
        <v>328</v>
      </c>
      <c r="E94" s="21" t="s">
        <v>944</v>
      </c>
      <c r="F94" s="21" t="s">
        <v>52</v>
      </c>
      <c r="G94" s="21" t="s">
        <v>52</v>
      </c>
      <c r="I94" s="21" t="s">
        <v>52</v>
      </c>
    </row>
    <row r="95" spans="1:9">
      <c r="B95" s="21" t="s">
        <v>967</v>
      </c>
      <c r="C95" s="149">
        <v>2</v>
      </c>
      <c r="D95" s="21" t="s">
        <v>33</v>
      </c>
      <c r="E95" s="21" t="s">
        <v>52</v>
      </c>
      <c r="F95" s="21" t="s">
        <v>52</v>
      </c>
      <c r="G95" s="21" t="s">
        <v>52</v>
      </c>
      <c r="I95" s="21" t="s">
        <v>968</v>
      </c>
    </row>
    <row r="96" spans="1:9">
      <c r="B96" s="21" t="s">
        <v>969</v>
      </c>
      <c r="C96" s="21">
        <v>95</v>
      </c>
      <c r="D96" s="21" t="s">
        <v>328</v>
      </c>
      <c r="E96" s="21" t="s">
        <v>711</v>
      </c>
      <c r="F96" s="21">
        <v>2022</v>
      </c>
      <c r="G96" s="61" t="s">
        <v>332</v>
      </c>
      <c r="H96" s="21" t="s">
        <v>52</v>
      </c>
      <c r="I96" s="21" t="s">
        <v>52</v>
      </c>
    </row>
    <row r="97" spans="1:9">
      <c r="B97" s="21" t="s">
        <v>970</v>
      </c>
      <c r="C97" s="21">
        <v>100.1</v>
      </c>
      <c r="D97" s="21" t="s">
        <v>897</v>
      </c>
      <c r="E97" s="21" t="s">
        <v>51</v>
      </c>
      <c r="F97" s="21">
        <v>2022</v>
      </c>
      <c r="G97" s="51" t="s">
        <v>858</v>
      </c>
      <c r="H97" s="21" t="s">
        <v>52</v>
      </c>
      <c r="I97" s="21" t="s">
        <v>52</v>
      </c>
    </row>
    <row r="98" spans="1:9">
      <c r="B98" s="21" t="s">
        <v>971</v>
      </c>
      <c r="C98" s="49">
        <f>C96*C97*365/10^6</f>
        <v>3.4709675</v>
      </c>
      <c r="D98" s="21" t="s">
        <v>972</v>
      </c>
      <c r="E98" s="21" t="s">
        <v>52</v>
      </c>
      <c r="F98" s="21" t="s">
        <v>52</v>
      </c>
      <c r="G98" s="21" t="s">
        <v>52</v>
      </c>
      <c r="H98" s="21" t="s">
        <v>52</v>
      </c>
      <c r="I98" s="21" t="s">
        <v>52</v>
      </c>
    </row>
    <row r="99" spans="1:9" ht="5.25" customHeight="1">
      <c r="E99" s="21" t="s">
        <v>52</v>
      </c>
      <c r="F99" s="21" t="s">
        <v>52</v>
      </c>
      <c r="G99" s="21" t="s">
        <v>52</v>
      </c>
      <c r="H99" s="21" t="s">
        <v>52</v>
      </c>
      <c r="I99" s="21" t="s">
        <v>52</v>
      </c>
    </row>
    <row r="100" spans="1:9">
      <c r="B100" s="21" t="s">
        <v>973</v>
      </c>
      <c r="C100" s="55">
        <f>C95*C98*1000/100</f>
        <v>69.419350000000009</v>
      </c>
      <c r="D100" s="21" t="s">
        <v>53</v>
      </c>
      <c r="E100" s="21" t="s">
        <v>944</v>
      </c>
      <c r="F100" s="21" t="s">
        <v>52</v>
      </c>
      <c r="G100" s="21" t="s">
        <v>52</v>
      </c>
      <c r="H100" s="21" t="s">
        <v>52</v>
      </c>
      <c r="I100" s="21" t="s">
        <v>52</v>
      </c>
    </row>
    <row r="102" spans="1:9">
      <c r="B102" s="21" t="s">
        <v>974</v>
      </c>
    </row>
    <row r="103" spans="1:9">
      <c r="B103" s="21" t="s">
        <v>975</v>
      </c>
      <c r="C103" s="96">
        <v>0.1</v>
      </c>
      <c r="I103" s="21" t="s">
        <v>976</v>
      </c>
    </row>
    <row r="104" spans="1:9">
      <c r="B104" s="21" t="s">
        <v>977</v>
      </c>
      <c r="C104" s="96">
        <v>0.06</v>
      </c>
      <c r="G104" s="21" t="s">
        <v>912</v>
      </c>
    </row>
    <row r="105" spans="1:9">
      <c r="B105" s="21" t="s">
        <v>978</v>
      </c>
      <c r="C105" s="44">
        <v>0.51</v>
      </c>
      <c r="G105" s="51" t="s">
        <v>979</v>
      </c>
    </row>
    <row r="106" spans="1:9">
      <c r="B106" s="21" t="s">
        <v>980</v>
      </c>
      <c r="C106" s="68">
        <v>7.0000000000000007E-2</v>
      </c>
      <c r="G106" s="21" t="s">
        <v>912</v>
      </c>
    </row>
    <row r="107" spans="1:9">
      <c r="B107" s="21" t="s">
        <v>981</v>
      </c>
      <c r="C107" s="44">
        <v>0.25</v>
      </c>
      <c r="G107" s="51" t="s">
        <v>979</v>
      </c>
    </row>
    <row r="108" spans="1:9">
      <c r="B108" s="21" t="s">
        <v>982</v>
      </c>
      <c r="C108" s="68">
        <v>0.1</v>
      </c>
      <c r="G108" s="21" t="s">
        <v>912</v>
      </c>
    </row>
    <row r="109" spans="1:9">
      <c r="B109" s="21" t="s">
        <v>983</v>
      </c>
      <c r="C109" s="44">
        <v>0.09</v>
      </c>
      <c r="G109" s="51" t="s">
        <v>979</v>
      </c>
    </row>
    <row r="111" spans="1:9">
      <c r="A111" s="9">
        <v>4</v>
      </c>
      <c r="B111" s="53" t="s">
        <v>70</v>
      </c>
      <c r="C111" s="53"/>
      <c r="D111" s="35"/>
      <c r="E111" s="35"/>
      <c r="F111" s="35"/>
      <c r="G111" s="35"/>
      <c r="H111" s="35"/>
      <c r="I111" s="35"/>
    </row>
    <row r="112" spans="1:9">
      <c r="B112" s="24" t="s">
        <v>47</v>
      </c>
      <c r="C112" s="24" t="s">
        <v>48</v>
      </c>
      <c r="D112" s="24" t="s">
        <v>49</v>
      </c>
      <c r="E112" s="24" t="s">
        <v>28</v>
      </c>
      <c r="F112" s="24" t="s">
        <v>50</v>
      </c>
      <c r="G112" s="24" t="s">
        <v>29</v>
      </c>
      <c r="H112" s="24" t="s">
        <v>122</v>
      </c>
      <c r="I112" s="24" t="s">
        <v>123</v>
      </c>
    </row>
    <row r="114" spans="2:9">
      <c r="B114" s="25" t="s">
        <v>984</v>
      </c>
      <c r="C114" s="25"/>
    </row>
    <row r="115" spans="2:9">
      <c r="B115" s="21" t="s">
        <v>985</v>
      </c>
      <c r="C115" s="21">
        <v>0.83699999999999997</v>
      </c>
      <c r="D115" s="21" t="s">
        <v>857</v>
      </c>
      <c r="E115" s="21" t="s">
        <v>51</v>
      </c>
      <c r="F115" s="21">
        <v>2019</v>
      </c>
      <c r="G115" s="51" t="s">
        <v>861</v>
      </c>
      <c r="I115" s="21" t="s">
        <v>912</v>
      </c>
    </row>
    <row r="116" spans="2:9">
      <c r="B116" s="21" t="s">
        <v>986</v>
      </c>
      <c r="C116" s="21" t="s">
        <v>697</v>
      </c>
      <c r="E116" s="21" t="s">
        <v>52</v>
      </c>
      <c r="F116" s="21" t="s">
        <v>52</v>
      </c>
      <c r="G116" s="21" t="s">
        <v>52</v>
      </c>
    </row>
    <row r="117" spans="2:9">
      <c r="B117" s="21" t="s">
        <v>987</v>
      </c>
      <c r="C117" s="21">
        <v>0.55600000000000005</v>
      </c>
      <c r="E117" s="21" t="s">
        <v>52</v>
      </c>
      <c r="F117" s="21" t="s">
        <v>52</v>
      </c>
      <c r="G117" s="21" t="s">
        <v>52</v>
      </c>
      <c r="I117" s="21" t="s">
        <v>912</v>
      </c>
    </row>
    <row r="119" spans="2:9">
      <c r="B119" s="25" t="s">
        <v>988</v>
      </c>
      <c r="C119" s="25"/>
    </row>
    <row r="120" spans="2:9">
      <c r="B120" s="21" t="s">
        <v>989</v>
      </c>
      <c r="C120" s="21">
        <f>94.8-C115</f>
        <v>93.962999999999994</v>
      </c>
      <c r="D120" s="21" t="s">
        <v>857</v>
      </c>
      <c r="E120" s="21" t="s">
        <v>51</v>
      </c>
      <c r="F120" s="21">
        <v>2022</v>
      </c>
      <c r="G120" s="51" t="s">
        <v>858</v>
      </c>
      <c r="I120" s="21" t="s">
        <v>859</v>
      </c>
    </row>
    <row r="121" spans="2:9">
      <c r="B121" s="21" t="s">
        <v>990</v>
      </c>
      <c r="C121" s="21">
        <v>22.2</v>
      </c>
      <c r="D121" s="21" t="s">
        <v>857</v>
      </c>
      <c r="E121" s="21" t="s">
        <v>51</v>
      </c>
      <c r="F121" s="21">
        <v>2022</v>
      </c>
      <c r="G121" s="51" t="s">
        <v>450</v>
      </c>
      <c r="H121" s="21" t="s">
        <v>900</v>
      </c>
      <c r="I121" s="21" t="s">
        <v>991</v>
      </c>
    </row>
    <row r="122" spans="2:9">
      <c r="B122" s="21" t="s">
        <v>986</v>
      </c>
      <c r="C122" s="21" t="s">
        <v>697</v>
      </c>
      <c r="D122" s="21" t="s">
        <v>52</v>
      </c>
      <c r="E122" s="21" t="s">
        <v>52</v>
      </c>
      <c r="F122" s="21" t="s">
        <v>52</v>
      </c>
      <c r="G122" s="21" t="s">
        <v>52</v>
      </c>
    </row>
    <row r="123" spans="2:9">
      <c r="B123" s="21" t="s">
        <v>992</v>
      </c>
      <c r="C123" s="21">
        <v>80.400000000000006</v>
      </c>
      <c r="D123" s="21" t="s">
        <v>857</v>
      </c>
      <c r="E123" s="21" t="s">
        <v>51</v>
      </c>
      <c r="F123" s="21">
        <v>2022</v>
      </c>
      <c r="G123" s="51" t="s">
        <v>858</v>
      </c>
      <c r="H123" s="21" t="s">
        <v>993</v>
      </c>
      <c r="I123" s="21" t="s">
        <v>994</v>
      </c>
    </row>
    <row r="125" spans="2:9">
      <c r="B125" s="25" t="s">
        <v>996</v>
      </c>
      <c r="C125" s="25"/>
    </row>
    <row r="126" spans="2:9">
      <c r="B126" s="25" t="s">
        <v>997</v>
      </c>
      <c r="C126" s="25"/>
    </row>
    <row r="127" spans="2:9">
      <c r="B127" s="21" t="s">
        <v>998</v>
      </c>
      <c r="C127" s="104">
        <f>C128+C129+C131</f>
        <v>430</v>
      </c>
      <c r="D127" s="21" t="s">
        <v>53</v>
      </c>
    </row>
    <row r="128" spans="2:9">
      <c r="B128" s="21" t="s">
        <v>999</v>
      </c>
      <c r="C128" s="21">
        <v>100</v>
      </c>
      <c r="D128" s="21" t="s">
        <v>53</v>
      </c>
      <c r="E128" s="21" t="s">
        <v>51</v>
      </c>
      <c r="G128" s="15" t="s">
        <v>1000</v>
      </c>
    </row>
    <row r="129" spans="2:9">
      <c r="B129" s="21" t="s">
        <v>1001</v>
      </c>
      <c r="C129" s="21">
        <v>70</v>
      </c>
      <c r="D129" s="21" t="s">
        <v>53</v>
      </c>
      <c r="E129" s="21" t="s">
        <v>51</v>
      </c>
      <c r="F129" s="21">
        <v>2022</v>
      </c>
      <c r="G129" s="51" t="s">
        <v>852</v>
      </c>
      <c r="H129" s="21" t="s">
        <v>1002</v>
      </c>
    </row>
    <row r="130" spans="2:9" hidden="1">
      <c r="B130" s="21" t="s">
        <v>1003</v>
      </c>
      <c r="C130" s="87">
        <v>65</v>
      </c>
      <c r="D130" s="21" t="s">
        <v>53</v>
      </c>
      <c r="E130" s="21" t="s">
        <v>937</v>
      </c>
      <c r="I130" s="21" t="s">
        <v>587</v>
      </c>
    </row>
    <row r="131" spans="2:9">
      <c r="B131" s="21" t="s">
        <v>1004</v>
      </c>
      <c r="C131" s="87">
        <v>260</v>
      </c>
      <c r="D131" s="21" t="s">
        <v>53</v>
      </c>
      <c r="E131" s="21" t="s">
        <v>51</v>
      </c>
      <c r="F131" s="21">
        <v>2022</v>
      </c>
      <c r="G131" s="51" t="s">
        <v>852</v>
      </c>
      <c r="H131" s="21" t="s">
        <v>1005</v>
      </c>
    </row>
    <row r="132" spans="2:9">
      <c r="B132" s="25"/>
      <c r="C132" s="87"/>
      <c r="G132" s="51"/>
    </row>
    <row r="133" spans="2:9">
      <c r="B133" s="21" t="s">
        <v>1006</v>
      </c>
      <c r="C133" s="21">
        <v>50</v>
      </c>
      <c r="D133" s="21" t="s">
        <v>1007</v>
      </c>
      <c r="E133" s="21" t="s">
        <v>1008</v>
      </c>
      <c r="F133" s="21">
        <v>2017</v>
      </c>
      <c r="G133" s="51" t="s">
        <v>1009</v>
      </c>
      <c r="H133" s="21" t="s">
        <v>1010</v>
      </c>
    </row>
    <row r="134" spans="2:9">
      <c r="B134" s="21" t="s">
        <v>1011</v>
      </c>
      <c r="C134" s="95">
        <f>(21%*1.6*POWER(10,3))*50/1000</f>
        <v>16.8</v>
      </c>
      <c r="D134" s="21" t="s">
        <v>295</v>
      </c>
      <c r="E134" s="27" t="s">
        <v>52</v>
      </c>
      <c r="F134" s="27" t="s">
        <v>52</v>
      </c>
      <c r="G134" s="27" t="s">
        <v>52</v>
      </c>
    </row>
    <row r="135" spans="2:9">
      <c r="B135" s="25" t="s">
        <v>908</v>
      </c>
      <c r="C135" s="25"/>
    </row>
    <row r="136" spans="2:9" ht="17.5" customHeight="1">
      <c r="B136" s="31" t="s">
        <v>1012</v>
      </c>
      <c r="C136" s="113">
        <v>435</v>
      </c>
      <c r="D136" s="21" t="s">
        <v>53</v>
      </c>
      <c r="E136" s="21" t="s">
        <v>1013</v>
      </c>
      <c r="G136" s="51" t="s">
        <v>939</v>
      </c>
      <c r="I136" s="21" t="s">
        <v>1014</v>
      </c>
    </row>
    <row r="137" spans="2:9">
      <c r="B137" s="25" t="s">
        <v>742</v>
      </c>
      <c r="C137" s="40">
        <f>C127+C134+C136</f>
        <v>881.8</v>
      </c>
      <c r="D137" s="21" t="s">
        <v>53</v>
      </c>
      <c r="F137" s="21">
        <v>2022</v>
      </c>
      <c r="G137" s="51"/>
    </row>
    <row r="138" spans="2:9">
      <c r="G138" s="51"/>
    </row>
    <row r="139" spans="2:9">
      <c r="B139" s="25" t="s">
        <v>1015</v>
      </c>
      <c r="C139" s="25"/>
    </row>
    <row r="140" spans="2:9">
      <c r="B140" s="131" t="s">
        <v>54</v>
      </c>
      <c r="C140" s="131">
        <v>690</v>
      </c>
      <c r="D140" s="131" t="s">
        <v>53</v>
      </c>
      <c r="E140" s="131" t="s">
        <v>357</v>
      </c>
      <c r="F140" s="131">
        <v>2022</v>
      </c>
      <c r="G140" s="131"/>
      <c r="H140" s="131"/>
      <c r="I140" s="131" t="s">
        <v>358</v>
      </c>
    </row>
    <row r="141" spans="2:9">
      <c r="B141" s="131" t="s">
        <v>359</v>
      </c>
      <c r="C141" s="150">
        <v>0.18</v>
      </c>
      <c r="D141" s="131" t="s">
        <v>33</v>
      </c>
      <c r="E141" s="131" t="s">
        <v>357</v>
      </c>
      <c r="F141" s="131">
        <v>2022</v>
      </c>
      <c r="G141" s="131"/>
      <c r="H141" s="131"/>
      <c r="I141" s="131"/>
    </row>
    <row r="142" spans="2:9">
      <c r="B142" s="21" t="s">
        <v>363</v>
      </c>
      <c r="C142" s="59">
        <v>9.11E-2</v>
      </c>
      <c r="F142" s="131">
        <v>2022</v>
      </c>
      <c r="G142" s="164" t="s">
        <v>493</v>
      </c>
    </row>
    <row r="143" spans="2:9">
      <c r="C143" s="59"/>
      <c r="F143" s="131"/>
      <c r="G143" s="164"/>
    </row>
    <row r="144" spans="2:9">
      <c r="B144" s="194" t="s">
        <v>1484</v>
      </c>
      <c r="G144"/>
      <c r="H144"/>
      <c r="I144"/>
    </row>
    <row r="145" spans="2:9">
      <c r="B145" s="20" t="s">
        <v>1485</v>
      </c>
      <c r="C145" s="101">
        <v>0</v>
      </c>
      <c r="D145" s="21" t="s">
        <v>33</v>
      </c>
      <c r="E145" s="21" t="s">
        <v>1490</v>
      </c>
      <c r="F145" s="21">
        <v>2023</v>
      </c>
      <c r="G145" s="60" t="s">
        <v>1491</v>
      </c>
      <c r="I145"/>
    </row>
    <row r="146" spans="2:9">
      <c r="B146" s="20" t="s">
        <v>1486</v>
      </c>
      <c r="C146" s="101">
        <v>3.7999999999999999E-2</v>
      </c>
      <c r="D146" s="21" t="s">
        <v>33</v>
      </c>
      <c r="E146" s="21" t="s">
        <v>1490</v>
      </c>
      <c r="F146" s="21">
        <v>2023</v>
      </c>
      <c r="G146" s="60" t="s">
        <v>1491</v>
      </c>
      <c r="I146"/>
    </row>
    <row r="147" spans="2:9">
      <c r="B147" s="20" t="s">
        <v>1487</v>
      </c>
      <c r="C147" s="101">
        <v>3.7999999999999999E-2</v>
      </c>
      <c r="D147" s="21" t="s">
        <v>33</v>
      </c>
      <c r="E147" s="21" t="s">
        <v>1490</v>
      </c>
      <c r="F147" s="21">
        <v>2023</v>
      </c>
      <c r="G147" s="60" t="s">
        <v>1491</v>
      </c>
      <c r="I147"/>
    </row>
    <row r="148" spans="2:9">
      <c r="B148" s="20" t="s">
        <v>1488</v>
      </c>
      <c r="C148" s="101">
        <v>0.45300000000000001</v>
      </c>
      <c r="D148" s="21" t="s">
        <v>33</v>
      </c>
      <c r="E148" s="21" t="s">
        <v>1490</v>
      </c>
      <c r="F148" s="21">
        <v>2023</v>
      </c>
      <c r="G148" s="60" t="s">
        <v>1491</v>
      </c>
      <c r="I148"/>
    </row>
    <row r="149" spans="2:9">
      <c r="B149" s="20" t="s">
        <v>1489</v>
      </c>
      <c r="C149" s="101">
        <v>0.47199999999999998</v>
      </c>
      <c r="D149" s="21" t="s">
        <v>33</v>
      </c>
      <c r="E149" s="21" t="s">
        <v>1490</v>
      </c>
      <c r="F149" s="21">
        <v>2023</v>
      </c>
      <c r="G149" s="60" t="s">
        <v>1491</v>
      </c>
      <c r="I149"/>
    </row>
    <row r="151" spans="2:9" s="18" customFormat="1">
      <c r="B151" s="53" t="s">
        <v>370</v>
      </c>
      <c r="C151" s="53"/>
      <c r="D151" s="35"/>
      <c r="E151" s="35"/>
      <c r="F151" s="35"/>
      <c r="G151" s="35"/>
      <c r="H151" s="35"/>
      <c r="I151" s="35"/>
    </row>
  </sheetData>
  <phoneticPr fontId="16" type="noConversion"/>
  <dataValidations count="1">
    <dataValidation type="list" allowBlank="1" showInputMessage="1" showErrorMessage="1" sqref="I144:I149" xr:uid="{6B30F67E-3B27-4526-9D88-F906D973759A}">
      <formula1>"Available annually, Available every few years, Infrequent / Once-off"</formula1>
    </dataValidation>
  </dataValidations>
  <hyperlinks>
    <hyperlink ref="G11" r:id="rId1" display="https://www.iea.org/reports/flaring-emissions" xr:uid="{9FDF88CE-0CF3-442A-8914-6987846649C9}"/>
    <hyperlink ref="G10" r:id="rId2" display="https://www.iea.org/articles/methane-tracker-database" xr:uid="{A15097AA-650B-4244-AE9A-CB79C0FA766E}"/>
    <hyperlink ref="G22" r:id="rId3" xr:uid="{C51CAB67-47D4-422E-AFC4-538BF3D05E05}"/>
    <hyperlink ref="G30" r:id="rId4" display="https://www.iea.org/articles/methane-tracker-database" xr:uid="{7B3F618D-41C2-45C0-BB33-71F5D2B99814}"/>
    <hyperlink ref="G32" r:id="rId5" display="https://www.eoriwyoming.org/library/economics/electrifying-the-oilfield-the-comparative-economics-of-grid-power-and-onsite-gas-generators-draft-30jan2017" xr:uid="{F9B66E97-99C6-4471-8433-D0730B2FE5D2}"/>
    <hyperlink ref="G61" r:id="rId6" display="https://www.eoriwyoming.org/library/economics/electrifying-the-oilfield-the-comparative-economics-of-grid-power-and-onsite-gas-generators-draft-30jan2017" xr:uid="{E789EFC4-EE05-4C2B-B7D6-9ADF774AA3F6}"/>
    <hyperlink ref="G63" r:id="rId7" display="https://www.sciencedaily.com/releases/2020/07/200716144736.htm" xr:uid="{14061179-94CA-4C15-95D1-102181CF93B4}"/>
    <hyperlink ref="G54" r:id="rId8" display="https://www.dnv.com/cases/carbon-emission-reduction-roadmap-for-refineries-135592" xr:uid="{C7824209-1242-4104-A8C0-3EB02B78FE19}"/>
    <hyperlink ref="G55" r:id="rId9" display="https://www.dnv.com/cases/carbon-emission-reduction-roadmap-for-refineries-135592" xr:uid="{9515E242-0451-48D9-BCE7-19A183907404}"/>
    <hyperlink ref="G56" r:id="rId10" display="https://www.dnv.com/cases/carbon-emission-reduction-roadmap-for-refineries-135592" xr:uid="{FAD37C4F-B08E-4355-88AC-3F6D10BF3645}"/>
    <hyperlink ref="G73" r:id="rId11" display="https://www.sciencedaily.com/releases/2020/07/200716144736.htm" xr:uid="{1B99B8BD-E619-46B2-A517-22C09AED80A2}"/>
    <hyperlink ref="G76" r:id="rId12" location=":~:text=In%20electrical%20terms%2C%20the%20energy,as%20a%20gallon%20of%20diesel." display="https://rmi.org/run-on-less-with-hydrogen-fuel-cells/ - :~:text=In%20electrical%20terms%2C%20the%20energy,as%20a%20gallon%20of%20diesel." xr:uid="{546F4022-6A7F-49DF-875A-8036F83099FE}"/>
    <hyperlink ref="G71" r:id="rId13" display="https://iea.blob.core.windows.net/assets/e57fd1ee-aac7-494d-a351-f2a4024909b4/GlobalHydrogenReview2021.pdf" xr:uid="{D812227E-5DDE-490F-A4D9-65338637570D}"/>
    <hyperlink ref="G31" r:id="rId14" display="https://blogs.edf.org/energyexchange/files/2022/02/Attachment-W-Rystad-Energy-Report_-Cost-of-Flaring-Abatement.pdf?_gl=1*1jmel8o*_ga*ODEyNzkzOTYxLjE2MzU4NzI0NzY.*_ga_WE3BPRQKW0*MTY0Mzc2MTc2Ny4xNTMuMS4xNjQzNzYxNzY4LjU5" xr:uid="{0E9355EF-1E99-40F0-9B25-9262D5A42D64}"/>
    <hyperlink ref="G105" r:id="rId15" location=":~:text=Refining%20output%20is%20larger%20than%20input&amp;text=The%20average%20processing%20gain%20at,of%20crude%20oil%20they%20refined." display="https://www.eia.gov/energyexplained/oil-and-petroleum-products/refining-crude-oil-inputs-and-outputs.php - :~:text=Refining%20output%20is%20larger%20than%20input&amp;text=The%20average%20processing%20gain%20at,of%20crude%20oil%20they%20refined." xr:uid="{122583ED-D41B-447B-BB5B-96E444576BE7}"/>
    <hyperlink ref="G107" r:id="rId16" location=":~:text=Refining%20output%20is%20larger%20than%20input&amp;text=The%20average%20processing%20gain%20at,of%20crude%20oil%20they%20refined." display="https://www.eia.gov/energyexplained/oil-and-petroleum-products/refining-crude-oil-inputs-and-outputs.php - :~:text=Refining%20output%20is%20larger%20than%20input&amp;text=The%20average%20processing%20gain%20at,of%20crude%20oil%20they%20refined." xr:uid="{17F944EB-66EA-4A0F-B437-7C6280F27328}"/>
    <hyperlink ref="G109" r:id="rId17" location=":~:text=Refining%20output%20is%20larger%20than%20input&amp;text=The%20average%20processing%20gain%20at,of%20crude%20oil%20they%20refined." display="https://www.eia.gov/energyexplained/oil-and-petroleum-products/refining-crude-oil-inputs-and-outputs.php - :~:text=Refining%20output%20is%20larger%20than%20input&amp;text=The%20average%20processing%20gain%20at,of%20crude%20oil%20they%20refined." xr:uid="{282B2AE9-8F4E-41DB-AAFB-5F749ECFEFEB}"/>
    <hyperlink ref="G67" r:id="rId18" xr:uid="{BD7B70BC-8BAA-421E-BC02-9FCA45CD3D82}"/>
    <hyperlink ref="G128" r:id="rId19" xr:uid="{A184A4FB-A7E1-4EE2-A990-2DC6CAEB726E}"/>
    <hyperlink ref="G136" r:id="rId20" display="https://www.dnv.com/cases/carbon-emission-reduction-roadmap-for-refineries-135592" xr:uid="{FB92749E-C036-463C-90EF-86489E257E9A}"/>
    <hyperlink ref="G18" r:id="rId21" display="https://www.iea.org/articles/methane-tracker-database" xr:uid="{BD31773E-FD29-4003-956B-C606CF641CF7}"/>
    <hyperlink ref="G25" r:id="rId22" xr:uid="{C0794500-FD14-47F4-B1EB-21974D5EB393}"/>
    <hyperlink ref="G26" r:id="rId23" xr:uid="{2B6DA853-0829-44AC-9E2F-588B4BF04CB2}"/>
    <hyperlink ref="G13" r:id="rId24" display="https://www.iea.org/articles/etp-clean-energy-technology-guide" xr:uid="{6CF3668E-29B9-49C8-AC1B-61F87310380E}"/>
    <hyperlink ref="G121" r:id="rId25" xr:uid="{FA6DBD36-9A67-4B1C-B30F-BD503871794D}"/>
    <hyperlink ref="G24" r:id="rId26" xr:uid="{01B2BD46-A1A9-405E-97E5-7FC54DE83EB3}"/>
    <hyperlink ref="G50" r:id="rId27" xr:uid="{A5A30805-4BC7-4121-B131-1C3A706B0C74}"/>
    <hyperlink ref="G97" r:id="rId28" xr:uid="{16D297DE-8B62-411E-A2AE-A32F49A5C01D}"/>
    <hyperlink ref="G115" r:id="rId29" xr:uid="{8D540615-A540-470D-839A-22E978CD4929}"/>
    <hyperlink ref="G120" r:id="rId30" xr:uid="{067D53EF-0CF5-4564-AB87-2F19D9DC3FA8}"/>
    <hyperlink ref="G123" r:id="rId31" xr:uid="{FC9E4475-FC26-4C80-825F-DBF5A8D705D7}"/>
    <hyperlink ref="G129" r:id="rId32" xr:uid="{4A2FCDAC-43F9-4758-8544-92584A5299B6}"/>
    <hyperlink ref="G131" r:id="rId33" xr:uid="{FB64A5A5-3392-4646-B15D-7079451CE568}"/>
    <hyperlink ref="G133" r:id="rId34" xr:uid="{6684C47D-1145-4400-B420-5FA431E705A5}"/>
    <hyperlink ref="G65" r:id="rId35" display="Renewable Power Generation Costs in 2021 (irena.org)" xr:uid="{6A34033B-C3E3-45CA-91C0-DED8C81EF318}"/>
    <hyperlink ref="G66" r:id="rId36" xr:uid="{6357AB70-1B89-4913-8E1E-3613EAA81A08}"/>
    <hyperlink ref="G59" r:id="rId37" xr:uid="{15FB9ABC-58CD-4656-B008-F179BB1331C7}"/>
    <hyperlink ref="G142" r:id="rId38" xr:uid="{C7F0C03B-9A61-4032-BE99-A1D9A5E7BDAF}"/>
  </hyperlinks>
  <pageMargins left="0.7" right="0.7" top="0.75" bottom="0.75" header="0.3" footer="0.3"/>
  <pageSetup orientation="portrait" r:id="rId3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D0F0-E38A-4B62-8C93-D5118D97E52C}">
  <sheetPr codeName="Sheet16">
    <tabColor rgb="FF9148C8"/>
  </sheetPr>
  <dimension ref="A1:J97"/>
  <sheetViews>
    <sheetView showGridLines="0" topLeftCell="A69" zoomScale="60" zoomScaleNormal="60" workbookViewId="0">
      <selection activeCell="B41" sqref="B41"/>
    </sheetView>
  </sheetViews>
  <sheetFormatPr baseColWidth="10" defaultColWidth="8.83203125" defaultRowHeight="15"/>
  <cols>
    <col min="2" max="3" width="33.83203125" style="21" customWidth="1"/>
    <col min="4" max="4" width="23.5" style="21" customWidth="1"/>
    <col min="5" max="5" width="21.1640625" style="21" customWidth="1"/>
    <col min="6" max="6" width="18.1640625" style="21" customWidth="1"/>
    <col min="7" max="7" width="12.83203125" style="21" customWidth="1"/>
    <col min="8" max="8" width="33.83203125" style="21" customWidth="1"/>
    <col min="9" max="9" width="22.5" style="21" customWidth="1"/>
    <col min="10" max="10" width="33.83203125" style="21" customWidth="1"/>
  </cols>
  <sheetData>
    <row r="1" spans="2:10" s="1" customFormat="1">
      <c r="B1" s="2"/>
      <c r="C1" s="2"/>
      <c r="D1" s="2"/>
      <c r="E1" s="2"/>
      <c r="F1" s="2"/>
      <c r="G1" s="2"/>
      <c r="H1" s="2"/>
      <c r="I1" s="2"/>
      <c r="J1" s="2"/>
    </row>
    <row r="2" spans="2:10" s="1" customFormat="1" ht="15" customHeight="1">
      <c r="B2" s="19" t="s">
        <v>371</v>
      </c>
      <c r="C2" s="19"/>
      <c r="D2" s="43"/>
      <c r="E2" s="2"/>
      <c r="F2" s="2"/>
      <c r="G2" s="2"/>
      <c r="H2" s="2"/>
      <c r="I2" s="2"/>
      <c r="J2" s="2"/>
    </row>
    <row r="3" spans="2:10" s="1" customFormat="1" ht="15" customHeight="1">
      <c r="B3" s="19" t="s">
        <v>1016</v>
      </c>
      <c r="C3" s="19"/>
      <c r="D3" s="43"/>
      <c r="E3" s="2"/>
      <c r="F3" s="2"/>
      <c r="G3" s="2"/>
      <c r="H3" s="2"/>
      <c r="I3" s="2"/>
      <c r="J3" s="2"/>
    </row>
    <row r="4" spans="2:10" s="4" customFormat="1" ht="15" customHeight="1" thickBot="1">
      <c r="B4" s="5"/>
      <c r="C4" s="5"/>
      <c r="D4" s="5"/>
      <c r="E4" s="5"/>
      <c r="F4" s="5"/>
      <c r="G4" s="5"/>
      <c r="H4" s="5"/>
      <c r="I4" s="5"/>
      <c r="J4" s="5"/>
    </row>
    <row r="5" spans="2:10">
      <c r="B5" s="25" t="s">
        <v>1509</v>
      </c>
    </row>
    <row r="6" spans="2:10" ht="14.25" customHeight="1">
      <c r="J6" s="46"/>
    </row>
    <row r="7" spans="2:10">
      <c r="B7" s="13" t="s">
        <v>1017</v>
      </c>
      <c r="C7" s="13"/>
      <c r="D7" s="35"/>
      <c r="E7" s="35"/>
      <c r="F7" s="35"/>
      <c r="G7" s="35"/>
      <c r="H7" s="35"/>
      <c r="I7" s="35"/>
      <c r="J7" s="35"/>
    </row>
    <row r="8" spans="2:10">
      <c r="B8" s="24" t="s">
        <v>47</v>
      </c>
      <c r="C8" s="24" t="s">
        <v>48</v>
      </c>
      <c r="D8" s="24" t="s">
        <v>121</v>
      </c>
      <c r="E8" s="24" t="s">
        <v>49</v>
      </c>
      <c r="F8" s="24" t="s">
        <v>28</v>
      </c>
      <c r="G8" s="24" t="s">
        <v>50</v>
      </c>
      <c r="H8" s="24" t="s">
        <v>29</v>
      </c>
      <c r="I8" s="24" t="s">
        <v>122</v>
      </c>
      <c r="J8" s="24" t="s">
        <v>123</v>
      </c>
    </row>
    <row r="10" spans="2:10">
      <c r="B10" s="21" t="s">
        <v>23</v>
      </c>
      <c r="C10" s="98">
        <v>1.6</v>
      </c>
      <c r="D10" s="93">
        <v>2.1</v>
      </c>
      <c r="E10" s="21" t="s">
        <v>125</v>
      </c>
      <c r="F10" s="21" t="s">
        <v>51</v>
      </c>
      <c r="G10" s="21">
        <v>2021</v>
      </c>
      <c r="H10" s="51" t="s">
        <v>852</v>
      </c>
      <c r="I10" s="21" t="s">
        <v>883</v>
      </c>
    </row>
    <row r="11" spans="2:10">
      <c r="B11" s="21" t="s">
        <v>24</v>
      </c>
      <c r="C11" s="21" t="s">
        <v>42</v>
      </c>
      <c r="D11" s="21" t="s">
        <v>42</v>
      </c>
      <c r="E11" s="21" t="s">
        <v>22</v>
      </c>
      <c r="F11" s="21" t="s">
        <v>52</v>
      </c>
      <c r="G11" s="21" t="s">
        <v>52</v>
      </c>
      <c r="H11" s="21" t="s">
        <v>52</v>
      </c>
      <c r="I11" s="21" t="s">
        <v>52</v>
      </c>
    </row>
    <row r="12" spans="2:10">
      <c r="B12" s="21" t="s">
        <v>25</v>
      </c>
      <c r="C12" s="98">
        <f>C13*C21*365/10^6</f>
        <v>7.9909924499999994</v>
      </c>
      <c r="D12" s="98">
        <f>D13*D21*365/10^6</f>
        <v>7.6104689999999993</v>
      </c>
      <c r="E12" s="21" t="s">
        <v>22</v>
      </c>
      <c r="F12" s="21" t="s">
        <v>52</v>
      </c>
      <c r="G12" s="21" t="s">
        <v>52</v>
      </c>
      <c r="H12" s="21" t="s">
        <v>52</v>
      </c>
      <c r="I12" s="44"/>
      <c r="J12" s="21" t="s">
        <v>1018</v>
      </c>
    </row>
    <row r="13" spans="2:10">
      <c r="B13" s="28" t="s">
        <v>1019</v>
      </c>
      <c r="C13" s="46">
        <v>54.87</v>
      </c>
      <c r="D13" s="46">
        <v>54.87</v>
      </c>
      <c r="E13" s="21" t="s">
        <v>1020</v>
      </c>
      <c r="F13" s="21" t="s">
        <v>178</v>
      </c>
      <c r="G13" s="21">
        <v>2021</v>
      </c>
      <c r="H13" s="21" t="s">
        <v>179</v>
      </c>
    </row>
    <row r="14" spans="2:10">
      <c r="B14" s="21" t="s">
        <v>131</v>
      </c>
      <c r="C14" s="93">
        <f>37*34</f>
        <v>1258</v>
      </c>
      <c r="D14" s="93">
        <f>41.3*34</f>
        <v>1404.1999999999998</v>
      </c>
      <c r="E14" s="21" t="s">
        <v>767</v>
      </c>
      <c r="F14" s="21" t="s">
        <v>51</v>
      </c>
      <c r="G14" s="21">
        <v>2022</v>
      </c>
      <c r="H14" s="51" t="s">
        <v>855</v>
      </c>
      <c r="I14" s="21" t="s">
        <v>1021</v>
      </c>
    </row>
    <row r="15" spans="2:10">
      <c r="B15" s="21" t="s">
        <v>133</v>
      </c>
      <c r="C15" s="93">
        <v>31</v>
      </c>
      <c r="D15" s="93">
        <v>28.5</v>
      </c>
      <c r="E15" s="21" t="s">
        <v>767</v>
      </c>
      <c r="F15" s="21" t="s">
        <v>51</v>
      </c>
      <c r="G15" s="21">
        <v>2021</v>
      </c>
      <c r="H15" s="51" t="s">
        <v>1022</v>
      </c>
    </row>
    <row r="16" spans="2:10">
      <c r="B16" s="21" t="s">
        <v>136</v>
      </c>
      <c r="C16" s="38" t="s">
        <v>42</v>
      </c>
      <c r="D16" s="38" t="s">
        <v>42</v>
      </c>
      <c r="E16" s="21" t="s">
        <v>125</v>
      </c>
      <c r="F16" s="21" t="s">
        <v>52</v>
      </c>
      <c r="G16" s="21" t="s">
        <v>52</v>
      </c>
      <c r="H16" s="21" t="s">
        <v>52</v>
      </c>
      <c r="I16" s="21" t="s">
        <v>52</v>
      </c>
    </row>
    <row r="18" spans="1:10">
      <c r="A18" s="9"/>
      <c r="B18" s="53" t="s">
        <v>138</v>
      </c>
      <c r="C18" s="53"/>
      <c r="D18" s="35"/>
      <c r="E18" s="35"/>
      <c r="F18" s="35"/>
      <c r="G18" s="35"/>
      <c r="H18" s="35"/>
      <c r="I18" s="35"/>
      <c r="J18" s="35"/>
    </row>
    <row r="19" spans="1:10">
      <c r="B19" s="24" t="s">
        <v>47</v>
      </c>
      <c r="C19" s="24" t="s">
        <v>48</v>
      </c>
      <c r="D19" s="24" t="s">
        <v>121</v>
      </c>
      <c r="E19" s="24" t="s">
        <v>49</v>
      </c>
      <c r="F19" s="24" t="s">
        <v>28</v>
      </c>
      <c r="G19" s="24" t="s">
        <v>50</v>
      </c>
      <c r="H19" s="24" t="s">
        <v>29</v>
      </c>
      <c r="I19" s="24" t="s">
        <v>122</v>
      </c>
      <c r="J19" s="24" t="s">
        <v>123</v>
      </c>
    </row>
    <row r="21" spans="1:10">
      <c r="B21" s="20" t="s">
        <v>139</v>
      </c>
      <c r="C21" s="20">
        <v>399</v>
      </c>
      <c r="D21" s="95">
        <v>380</v>
      </c>
      <c r="E21" s="21" t="s">
        <v>1023</v>
      </c>
      <c r="F21" s="21" t="s">
        <v>51</v>
      </c>
      <c r="G21" s="21">
        <v>2022</v>
      </c>
      <c r="H21" s="51" t="s">
        <v>1024</v>
      </c>
      <c r="J21" s="21" t="s">
        <v>1025</v>
      </c>
    </row>
    <row r="22" spans="1:10">
      <c r="B22" s="21" t="s">
        <v>1026</v>
      </c>
      <c r="C22" s="21">
        <v>9</v>
      </c>
      <c r="D22" s="40">
        <v>4</v>
      </c>
      <c r="E22" s="21" t="s">
        <v>33</v>
      </c>
      <c r="F22" s="27" t="s">
        <v>51</v>
      </c>
      <c r="G22" s="27" t="s">
        <v>52</v>
      </c>
      <c r="H22" s="88" t="s">
        <v>1027</v>
      </c>
      <c r="J22" s="21" t="s">
        <v>587</v>
      </c>
    </row>
    <row r="23" spans="1:10">
      <c r="B23" s="21" t="s">
        <v>1028</v>
      </c>
      <c r="C23" s="21">
        <v>0</v>
      </c>
      <c r="D23" s="40">
        <v>0</v>
      </c>
      <c r="E23" s="21" t="s">
        <v>33</v>
      </c>
      <c r="F23" s="27" t="s">
        <v>51</v>
      </c>
      <c r="G23" s="27" t="s">
        <v>52</v>
      </c>
      <c r="H23" s="27" t="s">
        <v>129</v>
      </c>
    </row>
    <row r="24" spans="1:10">
      <c r="B24" s="21" t="s">
        <v>1029</v>
      </c>
      <c r="C24" s="21">
        <v>19425</v>
      </c>
      <c r="D24" s="21">
        <f>14415+3417+3834+1560</f>
        <v>23226</v>
      </c>
      <c r="E24" s="21" t="s">
        <v>1030</v>
      </c>
      <c r="F24" s="21" t="s">
        <v>51</v>
      </c>
      <c r="G24" s="21">
        <v>2022</v>
      </c>
      <c r="H24" s="51" t="s">
        <v>855</v>
      </c>
      <c r="I24" s="21" t="s">
        <v>868</v>
      </c>
    </row>
    <row r="25" spans="1:10">
      <c r="B25" s="21" t="s">
        <v>1029</v>
      </c>
      <c r="C25" s="49">
        <f>C24*48.02/365/1000</f>
        <v>2.5555849315068495</v>
      </c>
      <c r="D25" s="49">
        <f>D24*48.02/365/1000</f>
        <v>3.0556507397260275</v>
      </c>
      <c r="E25" s="21" t="s">
        <v>1023</v>
      </c>
      <c r="F25" s="21" t="s">
        <v>51</v>
      </c>
      <c r="G25" s="21">
        <v>2022</v>
      </c>
      <c r="H25" s="51"/>
    </row>
    <row r="26" spans="1:10">
      <c r="B26" s="21" t="s">
        <v>869</v>
      </c>
      <c r="C26" s="21">
        <v>14837</v>
      </c>
      <c r="D26" s="21">
        <f>17255</f>
        <v>17255</v>
      </c>
      <c r="E26" s="21" t="s">
        <v>1030</v>
      </c>
      <c r="F26" s="21" t="s">
        <v>51</v>
      </c>
      <c r="G26" s="21">
        <v>2022</v>
      </c>
      <c r="H26" s="51" t="s">
        <v>855</v>
      </c>
      <c r="I26" s="21" t="s">
        <v>868</v>
      </c>
    </row>
    <row r="27" spans="1:10">
      <c r="B27" s="21" t="s">
        <v>869</v>
      </c>
      <c r="C27" s="49">
        <f>C26*48.08/365/1000</f>
        <v>1.9544190684931506</v>
      </c>
      <c r="D27" s="49">
        <f>D26*48.08/365/1000</f>
        <v>2.2729326027397261</v>
      </c>
      <c r="E27" s="21" t="s">
        <v>1023</v>
      </c>
      <c r="F27" s="21" t="s">
        <v>51</v>
      </c>
      <c r="G27" s="21">
        <v>2022</v>
      </c>
      <c r="H27" s="51"/>
    </row>
    <row r="29" spans="1:10">
      <c r="A29" s="9"/>
      <c r="B29" s="53" t="s">
        <v>158</v>
      </c>
      <c r="C29" s="53"/>
      <c r="D29" s="35"/>
      <c r="E29" s="35"/>
      <c r="F29" s="35"/>
      <c r="G29" s="35"/>
      <c r="H29" s="35"/>
      <c r="I29" s="35"/>
      <c r="J29" s="35"/>
    </row>
    <row r="30" spans="1:10">
      <c r="B30" s="24" t="s">
        <v>47</v>
      </c>
      <c r="C30" s="24" t="s">
        <v>48</v>
      </c>
      <c r="D30" s="24" t="s">
        <v>121</v>
      </c>
      <c r="E30" s="24" t="s">
        <v>49</v>
      </c>
      <c r="F30" s="24" t="s">
        <v>28</v>
      </c>
      <c r="G30" s="24" t="s">
        <v>50</v>
      </c>
      <c r="H30" s="24" t="s">
        <v>29</v>
      </c>
      <c r="I30" s="24" t="s">
        <v>122</v>
      </c>
      <c r="J30" s="24" t="s">
        <v>123</v>
      </c>
    </row>
    <row r="31" spans="1:10">
      <c r="D31" s="46"/>
      <c r="E31" s="52"/>
    </row>
    <row r="32" spans="1:10">
      <c r="B32" s="25" t="s">
        <v>159</v>
      </c>
      <c r="C32" s="98">
        <f>10.855</f>
        <v>10.855</v>
      </c>
      <c r="D32" s="98">
        <f>SUM(D33:D35)+(D41*D36)</f>
        <v>14.331700203075378</v>
      </c>
      <c r="E32" s="52" t="s">
        <v>1031</v>
      </c>
      <c r="F32" s="27" t="s">
        <v>51</v>
      </c>
      <c r="G32" s="21">
        <v>2022</v>
      </c>
      <c r="H32" s="51" t="s">
        <v>852</v>
      </c>
      <c r="I32" s="21" t="s">
        <v>783</v>
      </c>
    </row>
    <row r="33" spans="1:10">
      <c r="B33" s="20" t="s">
        <v>872</v>
      </c>
      <c r="C33" s="132">
        <f>$C$32*(D33/($D$33+$D$34+$D$35+$D$36*0.12))</f>
        <v>3.1098868928967165</v>
      </c>
      <c r="D33" s="46">
        <v>4.105938886639275</v>
      </c>
      <c r="E33" s="52" t="s">
        <v>1031</v>
      </c>
      <c r="F33" s="21" t="s">
        <v>1032</v>
      </c>
      <c r="G33" s="21">
        <v>2015</v>
      </c>
      <c r="H33" s="21" t="s">
        <v>1033</v>
      </c>
      <c r="I33" s="21" t="s">
        <v>1034</v>
      </c>
    </row>
    <row r="34" spans="1:10">
      <c r="B34" s="20" t="s">
        <v>874</v>
      </c>
      <c r="C34" s="132">
        <f>$C$32*(D34/($D$33+$D$34+$D$35+$D$36*0.12))</f>
        <v>3.6246267924106559</v>
      </c>
      <c r="D34" s="46">
        <v>4.7855425644278444</v>
      </c>
      <c r="E34" s="52" t="s">
        <v>1031</v>
      </c>
      <c r="F34" s="21" t="s">
        <v>1032</v>
      </c>
      <c r="G34" s="21">
        <v>2015</v>
      </c>
      <c r="H34" s="51" t="s">
        <v>1033</v>
      </c>
      <c r="I34" s="21" t="s">
        <v>1034</v>
      </c>
    </row>
    <row r="35" spans="1:10">
      <c r="B35" s="20" t="s">
        <v>1035</v>
      </c>
      <c r="C35" s="132">
        <f>$C$32*(D35/($D$33+$D$34+$D$35+$D$36*0.12))</f>
        <v>3.3458093468406052</v>
      </c>
      <c r="D35" s="46">
        <v>4.4174239056257028</v>
      </c>
      <c r="E35" s="52" t="s">
        <v>1031</v>
      </c>
      <c r="F35" s="21" t="s">
        <v>1032</v>
      </c>
      <c r="G35" s="21">
        <v>2015</v>
      </c>
      <c r="H35" s="21" t="s">
        <v>1033</v>
      </c>
      <c r="I35" s="21" t="s">
        <v>1034</v>
      </c>
    </row>
    <row r="36" spans="1:10">
      <c r="B36" s="20" t="s">
        <v>1036</v>
      </c>
      <c r="C36" s="132">
        <f>$C$32*(D36/($D$33+$D$34+$D$35+$D$36*0.12))</f>
        <v>6.4556413987668586</v>
      </c>
      <c r="D36" s="46">
        <v>8.5232903865213085</v>
      </c>
      <c r="E36" s="52" t="s">
        <v>1031</v>
      </c>
      <c r="F36" s="21" t="s">
        <v>1032</v>
      </c>
      <c r="G36" s="21">
        <v>2015</v>
      </c>
      <c r="H36" s="21" t="s">
        <v>1033</v>
      </c>
      <c r="I36" s="21" t="s">
        <v>1034</v>
      </c>
    </row>
    <row r="37" spans="1:10" ht="14.25" customHeight="1">
      <c r="B37" s="25" t="s">
        <v>167</v>
      </c>
      <c r="C37" s="25"/>
      <c r="D37" s="44"/>
    </row>
    <row r="38" spans="1:10" ht="14.25" customHeight="1">
      <c r="B38" s="20" t="s">
        <v>872</v>
      </c>
      <c r="C38" s="44">
        <v>1</v>
      </c>
      <c r="D38" s="44">
        <v>1</v>
      </c>
      <c r="E38" s="52" t="s">
        <v>33</v>
      </c>
      <c r="F38" s="27" t="s">
        <v>52</v>
      </c>
      <c r="G38" s="27" t="s">
        <v>52</v>
      </c>
      <c r="H38" s="27" t="s">
        <v>52</v>
      </c>
      <c r="I38" s="27" t="s">
        <v>52</v>
      </c>
    </row>
    <row r="39" spans="1:10" ht="14.25" customHeight="1">
      <c r="B39" s="20" t="s">
        <v>874</v>
      </c>
      <c r="C39" s="44">
        <v>1</v>
      </c>
      <c r="D39" s="44">
        <v>1</v>
      </c>
      <c r="E39" s="52" t="s">
        <v>33</v>
      </c>
      <c r="F39" s="27" t="s">
        <v>52</v>
      </c>
      <c r="G39" s="27" t="s">
        <v>52</v>
      </c>
      <c r="H39" s="27" t="s">
        <v>52</v>
      </c>
      <c r="I39" s="27" t="s">
        <v>52</v>
      </c>
    </row>
    <row r="40" spans="1:10" ht="14.25" customHeight="1">
      <c r="B40" s="20" t="s">
        <v>1035</v>
      </c>
      <c r="C40" s="44">
        <v>1</v>
      </c>
      <c r="D40" s="44">
        <v>1</v>
      </c>
      <c r="E40" s="52" t="s">
        <v>33</v>
      </c>
      <c r="F40" s="27" t="s">
        <v>52</v>
      </c>
      <c r="G40" s="27" t="s">
        <v>52</v>
      </c>
      <c r="H40" s="27" t="s">
        <v>52</v>
      </c>
      <c r="I40" s="27" t="s">
        <v>52</v>
      </c>
    </row>
    <row r="41" spans="1:10" ht="14.25" customHeight="1">
      <c r="B41" s="20" t="s">
        <v>1036</v>
      </c>
      <c r="C41" s="44">
        <v>0.12</v>
      </c>
      <c r="D41" s="44">
        <v>0.12</v>
      </c>
      <c r="F41" s="21" t="s">
        <v>1032</v>
      </c>
      <c r="G41" s="21">
        <v>2015</v>
      </c>
      <c r="H41" s="21" t="s">
        <v>1033</v>
      </c>
      <c r="I41" s="21" t="s">
        <v>1034</v>
      </c>
    </row>
    <row r="42" spans="1:10">
      <c r="B42" s="25" t="s">
        <v>1037</v>
      </c>
      <c r="C42" s="25"/>
    </row>
    <row r="43" spans="1:10" ht="15.75" customHeight="1">
      <c r="B43" s="20" t="s">
        <v>872</v>
      </c>
      <c r="C43" s="69">
        <v>0.76</v>
      </c>
      <c r="D43" s="69">
        <v>0.76</v>
      </c>
      <c r="E43" s="52" t="s">
        <v>33</v>
      </c>
      <c r="F43" s="21" t="s">
        <v>1032</v>
      </c>
      <c r="G43" s="21">
        <v>2015</v>
      </c>
      <c r="H43" s="21" t="s">
        <v>1033</v>
      </c>
      <c r="I43" s="21" t="s">
        <v>1034</v>
      </c>
      <c r="J43" s="31"/>
    </row>
    <row r="44" spans="1:10" ht="15.75" customHeight="1">
      <c r="B44" s="20" t="s">
        <v>874</v>
      </c>
      <c r="C44" s="69">
        <v>0.78</v>
      </c>
      <c r="D44" s="69">
        <v>0.78</v>
      </c>
      <c r="E44" s="52" t="s">
        <v>33</v>
      </c>
      <c r="F44" s="21" t="s">
        <v>1032</v>
      </c>
      <c r="G44" s="21">
        <v>2015</v>
      </c>
      <c r="H44" s="21" t="s">
        <v>1033</v>
      </c>
      <c r="I44" s="21" t="s">
        <v>1034</v>
      </c>
      <c r="J44" s="31"/>
    </row>
    <row r="45" spans="1:10" ht="15.75" customHeight="1">
      <c r="B45" s="20" t="s">
        <v>1035</v>
      </c>
      <c r="C45" s="69">
        <v>0.28999999999999998</v>
      </c>
      <c r="D45" s="69">
        <v>0.28999999999999998</v>
      </c>
      <c r="E45" s="52" t="s">
        <v>33</v>
      </c>
      <c r="F45" s="21" t="s">
        <v>1032</v>
      </c>
      <c r="G45" s="21">
        <v>2015</v>
      </c>
      <c r="H45" s="21" t="s">
        <v>1033</v>
      </c>
      <c r="I45" s="21" t="s">
        <v>1034</v>
      </c>
      <c r="J45" s="31"/>
    </row>
    <row r="46" spans="1:10" ht="15.75" customHeight="1">
      <c r="B46" s="20" t="s">
        <v>1036</v>
      </c>
      <c r="C46" s="69">
        <v>0.15</v>
      </c>
      <c r="D46" s="69">
        <v>0.15</v>
      </c>
      <c r="E46" s="52" t="s">
        <v>33</v>
      </c>
      <c r="F46" s="21" t="s">
        <v>1032</v>
      </c>
      <c r="G46" s="21">
        <v>2015</v>
      </c>
      <c r="H46" s="21" t="s">
        <v>1033</v>
      </c>
      <c r="I46" s="21" t="s">
        <v>1034</v>
      </c>
      <c r="J46" s="31"/>
    </row>
    <row r="48" spans="1:10">
      <c r="A48" s="9"/>
      <c r="B48" s="53" t="s">
        <v>170</v>
      </c>
      <c r="C48" s="53"/>
      <c r="D48" s="35"/>
      <c r="E48" s="35"/>
      <c r="F48" s="35"/>
      <c r="G48" s="35"/>
      <c r="H48" s="35"/>
      <c r="I48" s="35"/>
      <c r="J48" s="35"/>
    </row>
    <row r="49" spans="2:10">
      <c r="B49" s="24" t="s">
        <v>47</v>
      </c>
      <c r="C49" s="24" t="s">
        <v>48</v>
      </c>
      <c r="D49" s="24" t="s">
        <v>121</v>
      </c>
      <c r="E49" s="24" t="s">
        <v>49</v>
      </c>
      <c r="F49" s="24" t="s">
        <v>28</v>
      </c>
      <c r="G49" s="24" t="s">
        <v>50</v>
      </c>
      <c r="H49" s="24" t="s">
        <v>29</v>
      </c>
      <c r="I49" s="24" t="s">
        <v>122</v>
      </c>
      <c r="J49" s="24" t="s">
        <v>123</v>
      </c>
    </row>
    <row r="51" spans="2:10">
      <c r="B51" s="21" t="s">
        <v>171</v>
      </c>
      <c r="C51" s="55">
        <f>SUM(C52:C55)</f>
        <v>37.308</v>
      </c>
      <c r="D51" s="55">
        <f>SUM(D52:D55)</f>
        <v>43.5</v>
      </c>
    </row>
    <row r="52" spans="2:10">
      <c r="B52" s="20" t="s">
        <v>39</v>
      </c>
      <c r="C52" s="46">
        <v>0</v>
      </c>
      <c r="D52" s="46">
        <v>0</v>
      </c>
      <c r="E52" s="21" t="s">
        <v>172</v>
      </c>
      <c r="F52" s="27" t="s">
        <v>52</v>
      </c>
      <c r="G52" s="27" t="s">
        <v>52</v>
      </c>
      <c r="H52" s="27" t="s">
        <v>52</v>
      </c>
      <c r="I52" s="21" t="s">
        <v>1038</v>
      </c>
    </row>
    <row r="53" spans="2:10">
      <c r="B53" s="20" t="s">
        <v>15</v>
      </c>
      <c r="C53" s="21">
        <v>23.14</v>
      </c>
      <c r="D53" s="21">
        <v>28.6</v>
      </c>
      <c r="E53" s="21" t="s">
        <v>172</v>
      </c>
      <c r="F53" s="21" t="s">
        <v>51</v>
      </c>
      <c r="G53" s="21">
        <v>2019</v>
      </c>
      <c r="H53" s="51" t="s">
        <v>888</v>
      </c>
      <c r="I53" s="21" t="s">
        <v>889</v>
      </c>
    </row>
    <row r="54" spans="2:10">
      <c r="B54" s="20" t="s">
        <v>26</v>
      </c>
      <c r="C54" s="46">
        <v>14.167999999999999</v>
      </c>
      <c r="D54" s="46">
        <v>14.9</v>
      </c>
      <c r="E54" s="21" t="s">
        <v>172</v>
      </c>
      <c r="F54" s="21" t="s">
        <v>51</v>
      </c>
      <c r="G54" s="21">
        <v>2019</v>
      </c>
      <c r="H54" s="51" t="s">
        <v>888</v>
      </c>
      <c r="I54" s="21" t="s">
        <v>889</v>
      </c>
    </row>
    <row r="55" spans="2:10">
      <c r="B55" s="20" t="s">
        <v>175</v>
      </c>
      <c r="C55" s="21">
        <v>0</v>
      </c>
      <c r="D55" s="21">
        <v>0</v>
      </c>
      <c r="E55" s="21" t="s">
        <v>172</v>
      </c>
      <c r="F55" s="27" t="s">
        <v>52</v>
      </c>
      <c r="G55" s="27" t="s">
        <v>52</v>
      </c>
      <c r="H55" s="27" t="s">
        <v>52</v>
      </c>
      <c r="I55" s="21" t="s">
        <v>1038</v>
      </c>
    </row>
    <row r="56" spans="2:10">
      <c r="B56" s="21" t="s">
        <v>171</v>
      </c>
    </row>
    <row r="57" spans="2:10">
      <c r="B57" s="20" t="s">
        <v>39</v>
      </c>
      <c r="C57" s="45">
        <f t="shared" ref="C57:D60" si="0">C52/$D$51</f>
        <v>0</v>
      </c>
      <c r="D57" s="45">
        <f t="shared" si="0"/>
        <v>0</v>
      </c>
      <c r="E57" s="21" t="s">
        <v>33</v>
      </c>
      <c r="F57" s="21" t="s">
        <v>52</v>
      </c>
      <c r="G57" s="21" t="s">
        <v>52</v>
      </c>
      <c r="H57" s="21" t="s">
        <v>52</v>
      </c>
      <c r="I57" s="21" t="s">
        <v>52</v>
      </c>
    </row>
    <row r="58" spans="2:10">
      <c r="B58" s="20" t="s">
        <v>15</v>
      </c>
      <c r="C58" s="45">
        <f>C53/$C$51</f>
        <v>0.62024230727994001</v>
      </c>
      <c r="D58" s="45">
        <f t="shared" si="0"/>
        <v>0.65747126436781611</v>
      </c>
      <c r="E58" s="21" t="s">
        <v>33</v>
      </c>
      <c r="F58" s="21" t="s">
        <v>52</v>
      </c>
      <c r="G58" s="21" t="s">
        <v>52</v>
      </c>
      <c r="H58" s="21" t="s">
        <v>52</v>
      </c>
      <c r="I58" s="21" t="s">
        <v>52</v>
      </c>
    </row>
    <row r="59" spans="2:10">
      <c r="B59" s="20" t="s">
        <v>26</v>
      </c>
      <c r="C59" s="45">
        <f>C54/$C$51</f>
        <v>0.37975769272006005</v>
      </c>
      <c r="D59" s="45">
        <f t="shared" si="0"/>
        <v>0.34252873563218389</v>
      </c>
      <c r="E59" s="21" t="s">
        <v>33</v>
      </c>
      <c r="F59" s="21" t="s">
        <v>52</v>
      </c>
      <c r="G59" s="21" t="s">
        <v>52</v>
      </c>
      <c r="H59" s="21" t="s">
        <v>52</v>
      </c>
      <c r="I59" s="21" t="s">
        <v>52</v>
      </c>
    </row>
    <row r="60" spans="2:10">
      <c r="B60" s="20" t="s">
        <v>175</v>
      </c>
      <c r="C60" s="45">
        <f t="shared" si="0"/>
        <v>0</v>
      </c>
      <c r="D60" s="45">
        <f t="shared" si="0"/>
        <v>0</v>
      </c>
      <c r="E60" s="21" t="s">
        <v>33</v>
      </c>
      <c r="F60" s="21" t="s">
        <v>52</v>
      </c>
      <c r="G60" s="21" t="s">
        <v>52</v>
      </c>
      <c r="H60" s="21" t="s">
        <v>52</v>
      </c>
      <c r="I60" s="21" t="s">
        <v>52</v>
      </c>
    </row>
    <row r="61" spans="2:10">
      <c r="B61" s="21" t="s">
        <v>176</v>
      </c>
      <c r="C61" s="99">
        <f>SUMPRODUCT(C57:C60,C62:C65)</f>
        <v>62.626996667190909</v>
      </c>
      <c r="D61" s="99">
        <f>SUMPRODUCT(D57:D60,D62:D65)</f>
        <v>63.376092259054808</v>
      </c>
      <c r="E61" s="21" t="s">
        <v>177</v>
      </c>
      <c r="J61" s="21" t="s">
        <v>525</v>
      </c>
    </row>
    <row r="62" spans="2:10">
      <c r="B62" s="20" t="s">
        <v>39</v>
      </c>
      <c r="C62" s="47">
        <v>90.737054939500212</v>
      </c>
      <c r="D62" s="47">
        <v>90.737054939500212</v>
      </c>
      <c r="E62" s="21" t="s">
        <v>177</v>
      </c>
      <c r="F62" s="21" t="s">
        <v>178</v>
      </c>
      <c r="G62" s="21">
        <v>2021</v>
      </c>
      <c r="H62" s="51" t="s">
        <v>179</v>
      </c>
      <c r="J62" s="21" t="s">
        <v>180</v>
      </c>
    </row>
    <row r="63" spans="2:10">
      <c r="B63" s="20" t="s">
        <v>15</v>
      </c>
      <c r="C63" s="40">
        <v>70.268221021704093</v>
      </c>
      <c r="D63" s="40">
        <v>70.268221021704093</v>
      </c>
      <c r="E63" s="21" t="s">
        <v>177</v>
      </c>
      <c r="F63" s="21" t="s">
        <v>178</v>
      </c>
      <c r="G63" s="21">
        <v>2021</v>
      </c>
      <c r="H63" s="21" t="s">
        <v>179</v>
      </c>
      <c r="J63" s="21" t="s">
        <v>181</v>
      </c>
    </row>
    <row r="64" spans="2:10">
      <c r="B64" s="20" t="s">
        <v>26</v>
      </c>
      <c r="C64" s="40">
        <v>50.146905506587053</v>
      </c>
      <c r="D64" s="40">
        <v>50.146905506587053</v>
      </c>
      <c r="E64" s="21" t="s">
        <v>177</v>
      </c>
      <c r="F64" s="21" t="s">
        <v>178</v>
      </c>
      <c r="G64" s="21">
        <v>2021</v>
      </c>
      <c r="H64" s="21" t="s">
        <v>179</v>
      </c>
      <c r="J64" s="21" t="s">
        <v>182</v>
      </c>
    </row>
    <row r="65" spans="1:10">
      <c r="B65" s="20" t="s">
        <v>175</v>
      </c>
      <c r="C65" s="21">
        <v>127</v>
      </c>
      <c r="D65" s="21">
        <v>127</v>
      </c>
      <c r="E65" s="21" t="s">
        <v>177</v>
      </c>
      <c r="F65" s="27" t="s">
        <v>51</v>
      </c>
      <c r="G65" s="27" t="s">
        <v>52</v>
      </c>
      <c r="H65" s="27" t="s">
        <v>527</v>
      </c>
      <c r="I65" s="27" t="s">
        <v>52</v>
      </c>
    </row>
    <row r="67" spans="1:10">
      <c r="A67" s="9"/>
      <c r="B67" s="53" t="s">
        <v>191</v>
      </c>
      <c r="C67" s="53"/>
      <c r="D67" s="35"/>
      <c r="E67" s="35"/>
      <c r="F67" s="35"/>
      <c r="G67" s="35"/>
      <c r="H67" s="35"/>
      <c r="I67" s="35"/>
      <c r="J67" s="35"/>
    </row>
    <row r="68" spans="1:10">
      <c r="B68" s="24" t="s">
        <v>47</v>
      </c>
      <c r="C68" s="24" t="s">
        <v>48</v>
      </c>
      <c r="D68" s="24" t="s">
        <v>121</v>
      </c>
      <c r="E68" s="24" t="s">
        <v>49</v>
      </c>
      <c r="F68" s="24" t="s">
        <v>28</v>
      </c>
      <c r="G68" s="24" t="s">
        <v>50</v>
      </c>
      <c r="H68" s="24" t="s">
        <v>29</v>
      </c>
      <c r="I68" s="24" t="s">
        <v>122</v>
      </c>
      <c r="J68" s="24" t="s">
        <v>123</v>
      </c>
    </row>
    <row r="70" spans="1:10">
      <c r="B70" s="21" t="s">
        <v>192</v>
      </c>
    </row>
    <row r="71" spans="1:10">
      <c r="B71" s="20" t="s">
        <v>1039</v>
      </c>
      <c r="C71" s="127">
        <v>0.87</v>
      </c>
      <c r="D71" s="21">
        <v>80</v>
      </c>
      <c r="E71" s="21" t="s">
        <v>33</v>
      </c>
      <c r="F71" s="21" t="s">
        <v>894</v>
      </c>
      <c r="G71" s="21">
        <v>2022</v>
      </c>
      <c r="H71" s="51" t="s">
        <v>895</v>
      </c>
      <c r="I71" s="21" t="s">
        <v>52</v>
      </c>
    </row>
    <row r="72" spans="1:10">
      <c r="B72" s="20" t="s">
        <v>1040</v>
      </c>
      <c r="C72" s="127">
        <v>7.0000000000000007E-2</v>
      </c>
      <c r="D72" s="21">
        <v>10</v>
      </c>
      <c r="E72" s="21" t="s">
        <v>33</v>
      </c>
      <c r="F72" s="21" t="s">
        <v>894</v>
      </c>
      <c r="G72" s="21">
        <v>2022</v>
      </c>
      <c r="H72" s="21" t="s">
        <v>146</v>
      </c>
      <c r="I72" s="21" t="s">
        <v>52</v>
      </c>
    </row>
    <row r="73" spans="1:10">
      <c r="B73" s="20" t="s">
        <v>1041</v>
      </c>
      <c r="C73" s="127">
        <v>5.5E-2</v>
      </c>
      <c r="D73" s="21">
        <v>10</v>
      </c>
      <c r="E73" s="21" t="s">
        <v>33</v>
      </c>
      <c r="F73" s="21" t="s">
        <v>894</v>
      </c>
      <c r="G73" s="21">
        <v>2022</v>
      </c>
      <c r="H73" s="21" t="s">
        <v>146</v>
      </c>
      <c r="I73" s="21" t="s">
        <v>52</v>
      </c>
    </row>
    <row r="74" spans="1:10">
      <c r="B74" s="20"/>
      <c r="C74" s="20"/>
    </row>
    <row r="75" spans="1:10">
      <c r="B75" s="21" t="s">
        <v>193</v>
      </c>
      <c r="C75" s="98">
        <f>SUM(C10,C12,C11)/C21/365*10^6</f>
        <v>65.85637003467572</v>
      </c>
      <c r="D75" s="98">
        <f>SUM(D10,D12,D11)/D21/365*10^6</f>
        <v>70.010591204037482</v>
      </c>
      <c r="E75" s="21" t="s">
        <v>1042</v>
      </c>
      <c r="F75" s="21" t="s">
        <v>52</v>
      </c>
      <c r="G75" s="21" t="s">
        <v>52</v>
      </c>
      <c r="H75" s="21" t="s">
        <v>52</v>
      </c>
      <c r="I75" s="21" t="s">
        <v>52</v>
      </c>
    </row>
    <row r="76" spans="1:10">
      <c r="B76" s="21" t="s">
        <v>195</v>
      </c>
      <c r="C76" s="21" t="s">
        <v>42</v>
      </c>
      <c r="D76" s="21" t="s">
        <v>42</v>
      </c>
      <c r="E76" s="21" t="s">
        <v>52</v>
      </c>
      <c r="F76" s="21" t="s">
        <v>52</v>
      </c>
      <c r="G76" s="21" t="s">
        <v>52</v>
      </c>
      <c r="H76" s="21" t="s">
        <v>52</v>
      </c>
      <c r="I76" s="21" t="s">
        <v>52</v>
      </c>
    </row>
    <row r="77" spans="1:10">
      <c r="B77" s="21" t="s">
        <v>1043</v>
      </c>
      <c r="C77" s="21" t="s">
        <v>42</v>
      </c>
      <c r="D77" s="21" t="s">
        <v>42</v>
      </c>
      <c r="E77" s="21" t="s">
        <v>52</v>
      </c>
      <c r="F77" s="21" t="s">
        <v>52</v>
      </c>
      <c r="G77" s="21" t="s">
        <v>52</v>
      </c>
      <c r="H77" s="21" t="s">
        <v>52</v>
      </c>
      <c r="I77" s="21" t="s">
        <v>52</v>
      </c>
    </row>
    <row r="79" spans="1:10">
      <c r="B79" s="53" t="s">
        <v>196</v>
      </c>
      <c r="C79" s="53"/>
      <c r="D79" s="35"/>
      <c r="E79" s="35"/>
      <c r="F79" s="35"/>
      <c r="G79" s="35"/>
      <c r="H79" s="35"/>
      <c r="I79" s="35"/>
      <c r="J79" s="35"/>
    </row>
    <row r="80" spans="1:10">
      <c r="B80" s="24" t="s">
        <v>47</v>
      </c>
      <c r="C80" s="24" t="s">
        <v>48</v>
      </c>
      <c r="D80" s="24" t="s">
        <v>121</v>
      </c>
      <c r="E80" s="24" t="s">
        <v>49</v>
      </c>
      <c r="F80" s="24" t="s">
        <v>28</v>
      </c>
      <c r="G80" s="24" t="s">
        <v>50</v>
      </c>
      <c r="H80" s="24" t="s">
        <v>29</v>
      </c>
      <c r="I80" s="24" t="s">
        <v>122</v>
      </c>
      <c r="J80" s="24" t="s">
        <v>123</v>
      </c>
    </row>
    <row r="82" spans="2:9">
      <c r="B82" s="25" t="s">
        <v>56</v>
      </c>
      <c r="C82" s="25"/>
    </row>
    <row r="83" spans="2:9">
      <c r="B83" s="21">
        <v>2022</v>
      </c>
    </row>
    <row r="84" spans="2:9">
      <c r="B84" s="20" t="s">
        <v>1044</v>
      </c>
      <c r="C84" s="20">
        <v>391</v>
      </c>
      <c r="D84" s="21">
        <v>380</v>
      </c>
      <c r="E84" s="21" t="s">
        <v>864</v>
      </c>
      <c r="F84" s="21" t="s">
        <v>51</v>
      </c>
      <c r="G84" s="21">
        <v>2022</v>
      </c>
      <c r="H84" s="51" t="s">
        <v>1024</v>
      </c>
    </row>
    <row r="85" spans="2:9">
      <c r="B85" s="20" t="s">
        <v>1045</v>
      </c>
      <c r="C85" s="20">
        <v>399</v>
      </c>
      <c r="D85" s="21">
        <v>383</v>
      </c>
      <c r="E85" s="21" t="s">
        <v>864</v>
      </c>
      <c r="F85" s="21" t="s">
        <v>51</v>
      </c>
      <c r="G85" s="21">
        <v>2022</v>
      </c>
      <c r="H85" s="21" t="s">
        <v>129</v>
      </c>
    </row>
    <row r="86" spans="2:9">
      <c r="B86" s="21" t="s">
        <v>1046</v>
      </c>
    </row>
    <row r="87" spans="2:9">
      <c r="B87" s="20" t="s">
        <v>1044</v>
      </c>
      <c r="C87" s="20">
        <v>422</v>
      </c>
      <c r="D87" s="21">
        <v>495</v>
      </c>
      <c r="E87" s="21" t="s">
        <v>864</v>
      </c>
      <c r="F87" s="21" t="s">
        <v>51</v>
      </c>
      <c r="G87" s="21">
        <v>2022</v>
      </c>
      <c r="H87" s="51" t="s">
        <v>450</v>
      </c>
      <c r="I87" s="21" t="s">
        <v>1047</v>
      </c>
    </row>
    <row r="88" spans="2:9">
      <c r="B88" s="20" t="s">
        <v>1045</v>
      </c>
      <c r="C88" s="20">
        <v>421</v>
      </c>
      <c r="D88" s="21">
        <v>495</v>
      </c>
      <c r="E88" s="21" t="s">
        <v>864</v>
      </c>
      <c r="F88" s="21" t="s">
        <v>51</v>
      </c>
      <c r="G88" s="21">
        <v>2022</v>
      </c>
      <c r="H88" s="51" t="s">
        <v>450</v>
      </c>
      <c r="I88" s="21" t="s">
        <v>1047</v>
      </c>
    </row>
    <row r="89" spans="2:9">
      <c r="B89" s="21" t="s">
        <v>1048</v>
      </c>
    </row>
    <row r="90" spans="2:9">
      <c r="B90" s="20" t="s">
        <v>1044</v>
      </c>
      <c r="C90" s="20">
        <v>258</v>
      </c>
      <c r="D90" s="21">
        <v>495</v>
      </c>
      <c r="E90" s="21" t="s">
        <v>864</v>
      </c>
      <c r="F90" s="21" t="s">
        <v>51</v>
      </c>
      <c r="G90" s="21">
        <v>2022</v>
      </c>
      <c r="H90" s="51" t="s">
        <v>450</v>
      </c>
      <c r="I90" s="21" t="s">
        <v>1047</v>
      </c>
    </row>
    <row r="91" spans="2:9">
      <c r="B91" s="20" t="s">
        <v>1045</v>
      </c>
      <c r="C91" s="20">
        <v>258</v>
      </c>
      <c r="D91" s="21">
        <v>495</v>
      </c>
      <c r="E91" s="21" t="s">
        <v>864</v>
      </c>
      <c r="F91" s="21" t="s">
        <v>51</v>
      </c>
      <c r="G91" s="21">
        <v>2022</v>
      </c>
      <c r="H91" s="51" t="s">
        <v>450</v>
      </c>
      <c r="I91" s="21" t="s">
        <v>1047</v>
      </c>
    </row>
    <row r="92" spans="2:9">
      <c r="B92" s="21" t="s">
        <v>1049</v>
      </c>
    </row>
    <row r="93" spans="2:9">
      <c r="B93" s="20" t="s">
        <v>1044</v>
      </c>
      <c r="C93" s="20">
        <v>89</v>
      </c>
      <c r="D93" s="21">
        <v>169</v>
      </c>
      <c r="E93" s="21" t="s">
        <v>864</v>
      </c>
      <c r="F93" s="21" t="s">
        <v>51</v>
      </c>
      <c r="G93" s="21">
        <v>2022</v>
      </c>
      <c r="H93" s="51" t="s">
        <v>450</v>
      </c>
      <c r="I93" s="21" t="s">
        <v>1047</v>
      </c>
    </row>
    <row r="94" spans="2:9">
      <c r="B94" s="20" t="s">
        <v>1045</v>
      </c>
      <c r="C94" s="20">
        <v>95</v>
      </c>
      <c r="D94" s="21">
        <v>169</v>
      </c>
      <c r="E94" s="21" t="s">
        <v>864</v>
      </c>
      <c r="F94" s="21" t="s">
        <v>51</v>
      </c>
      <c r="G94" s="21">
        <v>2022</v>
      </c>
      <c r="H94" s="51" t="s">
        <v>450</v>
      </c>
      <c r="I94" s="21" t="s">
        <v>1047</v>
      </c>
    </row>
    <row r="97" spans="2:10" s="18" customFormat="1">
      <c r="B97" s="53" t="s">
        <v>370</v>
      </c>
      <c r="C97" s="53"/>
      <c r="D97" s="35"/>
      <c r="E97" s="35"/>
      <c r="F97" s="35"/>
      <c r="G97" s="35"/>
      <c r="H97" s="35"/>
      <c r="I97" s="35"/>
      <c r="J97" s="35"/>
    </row>
  </sheetData>
  <phoneticPr fontId="16" type="noConversion"/>
  <hyperlinks>
    <hyperlink ref="H62" r:id="rId1" xr:uid="{9A753BFE-77F0-461F-B2FF-2A5FF7DF33B5}"/>
    <hyperlink ref="H34" r:id="rId2" xr:uid="{8FD9A1FC-28DE-471A-AB12-EB5A58DB8118}"/>
    <hyperlink ref="H71" r:id="rId3" xr:uid="{3B8E7433-6D2C-43A3-A7CF-65C5269F7597}"/>
    <hyperlink ref="H24" r:id="rId4" display="https://www.iea.org/articles/methane-tracker-database" xr:uid="{FEF2475A-3CFF-4847-A576-E6112E5FDD89}"/>
    <hyperlink ref="H26" r:id="rId5" display="https://www.iea.org/articles/methane-tracker-database" xr:uid="{187F6CA2-FDCD-4FFF-BDE2-C709CEC83F08}"/>
    <hyperlink ref="H22" r:id="rId6" display="https://www.iea.org/data-and-statistics/charts/spectrum-of-the-well-to-tank-emissions-intensity-of-global-gas-production-2018" xr:uid="{557F3013-5DE2-4D32-AF7F-0ED5CF53393C}"/>
    <hyperlink ref="H15" r:id="rId7" xr:uid="{7824C9DA-D157-4E25-BB1B-28724EB59074}"/>
    <hyperlink ref="H10" r:id="rId8" xr:uid="{500B9B72-CF8F-4964-A3A1-C3C8DCE80115}"/>
    <hyperlink ref="H21" r:id="rId9" xr:uid="{F9A43478-E81C-4A3F-B544-C9B6EF681BAF}"/>
    <hyperlink ref="H14" r:id="rId10" display="https://www.iea.org/articles/methane-tracker-database" xr:uid="{9974910F-2A45-4C5D-8B37-B50F3943A4BF}"/>
    <hyperlink ref="H32" r:id="rId11" xr:uid="{51AB02AB-656C-4A2D-B88F-17B11E575AAB}"/>
    <hyperlink ref="H84" r:id="rId12" xr:uid="{81B16801-A754-4896-8DD9-83DFD5F34FBA}"/>
    <hyperlink ref="H87" r:id="rId13" xr:uid="{E9B3B09D-A09A-408E-B641-E466D3D8A36B}"/>
    <hyperlink ref="H88" r:id="rId14" xr:uid="{4E4725D2-8FFA-4B3D-AF3B-23D2069ADA8E}"/>
    <hyperlink ref="H93" r:id="rId15" xr:uid="{0D6B8203-8498-4C76-8719-FE1785B67E4B}"/>
    <hyperlink ref="H94" r:id="rId16" xr:uid="{3032509A-59D6-4583-86D5-7E8C4424BC8A}"/>
    <hyperlink ref="H90" r:id="rId17" xr:uid="{2512B394-54CF-4207-9C2B-00D1FE0E865B}"/>
    <hyperlink ref="H91" r:id="rId18" xr:uid="{A169BC9A-0B75-4876-AFB3-DF9A49FC168A}"/>
  </hyperlinks>
  <pageMargins left="0.7" right="0.7" top="0.75" bottom="0.75" header="0.3" footer="0.3"/>
  <pageSetup orientation="portrait" r:id="rId1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2A52-F7D8-4903-80ED-B8183BCAFDA3}">
  <sheetPr codeName="Sheet17">
    <tabColor rgb="FF9148C8"/>
  </sheetPr>
  <dimension ref="A1:I125"/>
  <sheetViews>
    <sheetView showGridLines="0" topLeftCell="A100" zoomScale="55" zoomScaleNormal="55" workbookViewId="0">
      <selection activeCell="A118" sqref="A118:XFD123"/>
    </sheetView>
  </sheetViews>
  <sheetFormatPr baseColWidth="10" defaultColWidth="8.83203125" defaultRowHeight="15"/>
  <cols>
    <col min="2" max="2" width="48.5" style="21" customWidth="1"/>
    <col min="3" max="3" width="35.83203125" style="21" customWidth="1"/>
    <col min="4" max="4" width="15.1640625" style="21" customWidth="1"/>
    <col min="5" max="5" width="24.5" style="21" customWidth="1"/>
    <col min="6" max="6" width="11.83203125" style="21" customWidth="1"/>
    <col min="7" max="7" width="36.5" style="21" customWidth="1"/>
    <col min="8" max="8" width="21.1640625" style="21" customWidth="1"/>
    <col min="9" max="9" width="52.5" style="21" customWidth="1"/>
  </cols>
  <sheetData>
    <row r="1" spans="1:9" s="1" customFormat="1">
      <c r="B1" s="2"/>
      <c r="C1" s="2"/>
      <c r="D1" s="2"/>
      <c r="E1" s="2"/>
      <c r="F1" s="2"/>
      <c r="G1" s="2"/>
      <c r="H1" s="2"/>
      <c r="I1" s="2"/>
    </row>
    <row r="2" spans="1:9" s="1" customFormat="1" ht="15" customHeight="1">
      <c r="B2" s="19" t="s">
        <v>371</v>
      </c>
      <c r="C2" s="19"/>
      <c r="D2" s="2"/>
      <c r="E2" s="2"/>
      <c r="F2" s="2"/>
      <c r="G2" s="2"/>
      <c r="H2" s="2"/>
      <c r="I2" s="2"/>
    </row>
    <row r="3" spans="1:9" s="1" customFormat="1" ht="15" customHeight="1">
      <c r="B3" s="19" t="s">
        <v>1050</v>
      </c>
      <c r="C3" s="19"/>
      <c r="D3" s="2"/>
      <c r="E3" s="2"/>
      <c r="F3" s="2"/>
      <c r="G3" s="2"/>
      <c r="H3" s="2"/>
      <c r="I3" s="2"/>
    </row>
    <row r="4" spans="1:9" s="4" customFormat="1" ht="15" customHeight="1" thickBot="1">
      <c r="B4" s="5"/>
      <c r="C4" s="5"/>
      <c r="D4" s="5"/>
      <c r="E4" s="5"/>
      <c r="F4" s="5"/>
      <c r="G4" s="5"/>
      <c r="H4" s="5"/>
      <c r="I4" s="5"/>
    </row>
    <row r="5" spans="1:9">
      <c r="B5" s="25" t="s">
        <v>1509</v>
      </c>
    </row>
    <row r="6" spans="1:9" ht="14.25" customHeight="1">
      <c r="B6" s="38"/>
      <c r="C6" s="38"/>
    </row>
    <row r="7" spans="1:9">
      <c r="A7" s="9">
        <v>1</v>
      </c>
      <c r="B7" s="53" t="s">
        <v>71</v>
      </c>
      <c r="C7" s="53"/>
      <c r="D7" s="35"/>
      <c r="E7" s="35"/>
      <c r="F7" s="35"/>
      <c r="G7" s="35"/>
      <c r="H7" s="35"/>
      <c r="I7" s="35"/>
    </row>
    <row r="8" spans="1:9">
      <c r="B8" s="24" t="s">
        <v>47</v>
      </c>
      <c r="C8" s="24" t="s">
        <v>48</v>
      </c>
      <c r="D8" s="24" t="s">
        <v>49</v>
      </c>
      <c r="E8" s="24" t="s">
        <v>28</v>
      </c>
      <c r="F8" s="24" t="s">
        <v>50</v>
      </c>
      <c r="G8" s="24" t="s">
        <v>29</v>
      </c>
      <c r="H8" s="24" t="s">
        <v>122</v>
      </c>
      <c r="I8" s="24" t="s">
        <v>123</v>
      </c>
    </row>
    <row r="10" spans="1:9">
      <c r="B10" s="25" t="s">
        <v>1051</v>
      </c>
      <c r="C10" s="25"/>
    </row>
    <row r="11" spans="1:9">
      <c r="B11" s="21" t="s">
        <v>105</v>
      </c>
      <c r="C11" s="212" t="s">
        <v>1052</v>
      </c>
      <c r="D11" s="21" t="s">
        <v>52</v>
      </c>
      <c r="E11" s="21" t="s">
        <v>52</v>
      </c>
      <c r="F11" s="21" t="s">
        <v>52</v>
      </c>
      <c r="I11" s="21" t="s">
        <v>912</v>
      </c>
    </row>
    <row r="12" spans="1:9">
      <c r="B12" s="21" t="s">
        <v>99</v>
      </c>
      <c r="C12" s="212" t="s">
        <v>1052</v>
      </c>
      <c r="D12" s="21" t="s">
        <v>52</v>
      </c>
      <c r="E12" s="21" t="s">
        <v>51</v>
      </c>
      <c r="F12" s="21">
        <v>2020</v>
      </c>
      <c r="G12" s="21" t="s">
        <v>1053</v>
      </c>
      <c r="I12" s="21" t="s">
        <v>1054</v>
      </c>
    </row>
    <row r="13" spans="1:9">
      <c r="B13" s="21" t="s">
        <v>106</v>
      </c>
      <c r="C13" s="212" t="s">
        <v>556</v>
      </c>
      <c r="D13" s="21" t="s">
        <v>52</v>
      </c>
      <c r="E13" s="21" t="s">
        <v>298</v>
      </c>
      <c r="F13" s="21">
        <v>2020</v>
      </c>
      <c r="G13" s="51" t="s">
        <v>1055</v>
      </c>
      <c r="I13" s="21" t="s">
        <v>1056</v>
      </c>
    </row>
    <row r="14" spans="1:9">
      <c r="B14" s="21" t="s">
        <v>107</v>
      </c>
      <c r="C14" s="212" t="s">
        <v>556</v>
      </c>
      <c r="D14" s="27" t="s">
        <v>52</v>
      </c>
      <c r="E14" s="27" t="s">
        <v>52</v>
      </c>
      <c r="F14" s="21">
        <v>2020</v>
      </c>
      <c r="G14" s="51"/>
      <c r="I14" s="21" t="s">
        <v>912</v>
      </c>
    </row>
    <row r="16" spans="1:9">
      <c r="B16" s="25" t="s">
        <v>429</v>
      </c>
      <c r="C16" s="25"/>
    </row>
    <row r="17" spans="2:9">
      <c r="B17" s="21" t="s">
        <v>105</v>
      </c>
      <c r="C17" s="44">
        <v>7.0000000000000007E-2</v>
      </c>
      <c r="D17" s="21" t="s">
        <v>33</v>
      </c>
      <c r="E17" s="21" t="s">
        <v>1057</v>
      </c>
      <c r="F17" s="21">
        <v>2015</v>
      </c>
      <c r="I17" s="21" t="s">
        <v>1058</v>
      </c>
    </row>
    <row r="18" spans="2:9">
      <c r="B18" s="21" t="s">
        <v>99</v>
      </c>
    </row>
    <row r="19" spans="2:9">
      <c r="B19" s="21" t="s">
        <v>1059</v>
      </c>
      <c r="C19" s="44">
        <v>0.4</v>
      </c>
      <c r="D19" s="21" t="s">
        <v>33</v>
      </c>
      <c r="E19" s="21" t="s">
        <v>51</v>
      </c>
      <c r="F19" s="21">
        <v>2020</v>
      </c>
      <c r="G19" s="51" t="s">
        <v>1060</v>
      </c>
    </row>
    <row r="20" spans="2:9">
      <c r="B20" s="21" t="s">
        <v>1061</v>
      </c>
      <c r="C20" s="44">
        <v>0.35</v>
      </c>
      <c r="D20" s="21" t="s">
        <v>33</v>
      </c>
      <c r="E20" s="21" t="s">
        <v>51</v>
      </c>
      <c r="F20" s="21">
        <v>2020</v>
      </c>
      <c r="G20" s="51" t="s">
        <v>1060</v>
      </c>
      <c r="H20" s="27" t="s">
        <v>52</v>
      </c>
    </row>
    <row r="21" spans="2:9">
      <c r="B21" s="21" t="s">
        <v>1062</v>
      </c>
      <c r="C21" s="44">
        <v>0.25</v>
      </c>
      <c r="D21" s="21" t="s">
        <v>33</v>
      </c>
      <c r="E21" s="21" t="s">
        <v>51</v>
      </c>
      <c r="F21" s="21">
        <v>2020</v>
      </c>
      <c r="G21" s="51" t="s">
        <v>1060</v>
      </c>
      <c r="H21" s="27" t="s">
        <v>52</v>
      </c>
    </row>
    <row r="22" spans="2:9">
      <c r="B22" s="21" t="s">
        <v>106</v>
      </c>
      <c r="C22" s="96">
        <f>31%*C23*C24</f>
        <v>0.20909499999999998</v>
      </c>
      <c r="D22" s="21" t="s">
        <v>33</v>
      </c>
      <c r="E22" s="27" t="s">
        <v>52</v>
      </c>
      <c r="F22" s="27" t="s">
        <v>52</v>
      </c>
      <c r="G22" s="27" t="s">
        <v>52</v>
      </c>
    </row>
    <row r="23" spans="2:9">
      <c r="B23" s="20" t="s">
        <v>1063</v>
      </c>
      <c r="C23" s="77">
        <v>0.71</v>
      </c>
      <c r="D23" s="21" t="s">
        <v>33</v>
      </c>
      <c r="E23" s="21" t="s">
        <v>1057</v>
      </c>
      <c r="G23" s="21" t="s">
        <v>1064</v>
      </c>
      <c r="H23" s="21" t="s">
        <v>1065</v>
      </c>
    </row>
    <row r="24" spans="2:9">
      <c r="B24" s="20" t="s">
        <v>1066</v>
      </c>
      <c r="C24" s="77">
        <v>0.95</v>
      </c>
      <c r="D24" s="21" t="s">
        <v>33</v>
      </c>
      <c r="E24" s="27" t="s">
        <v>52</v>
      </c>
      <c r="F24" s="27" t="s">
        <v>52</v>
      </c>
      <c r="G24" s="27" t="s">
        <v>52</v>
      </c>
      <c r="I24" s="21" t="s">
        <v>132</v>
      </c>
    </row>
    <row r="25" spans="2:9">
      <c r="B25" s="21" t="s">
        <v>104</v>
      </c>
      <c r="C25" s="44">
        <v>7.0000000000000007E-2</v>
      </c>
      <c r="D25" s="21" t="s">
        <v>33</v>
      </c>
      <c r="E25" s="21" t="s">
        <v>1067</v>
      </c>
      <c r="F25" s="21" t="s">
        <v>52</v>
      </c>
      <c r="G25" s="51" t="s">
        <v>1068</v>
      </c>
      <c r="I25" s="21" t="s">
        <v>1058</v>
      </c>
    </row>
    <row r="27" spans="2:9">
      <c r="B27" s="25" t="s">
        <v>1069</v>
      </c>
      <c r="C27" s="25"/>
    </row>
    <row r="28" spans="2:9">
      <c r="B28" s="21" t="s">
        <v>1070</v>
      </c>
      <c r="C28" s="46">
        <v>1.946</v>
      </c>
      <c r="D28" s="21" t="s">
        <v>1071</v>
      </c>
      <c r="I28" s="21" t="s">
        <v>933</v>
      </c>
    </row>
    <row r="29" spans="2:9">
      <c r="B29" s="21" t="s">
        <v>105</v>
      </c>
      <c r="C29" s="21" t="s">
        <v>438</v>
      </c>
      <c r="D29" s="21" t="s">
        <v>33</v>
      </c>
      <c r="E29" s="21" t="s">
        <v>937</v>
      </c>
      <c r="F29" s="21">
        <v>2017</v>
      </c>
      <c r="G29" s="51" t="s">
        <v>938</v>
      </c>
    </row>
    <row r="30" spans="2:9">
      <c r="B30" s="21" t="s">
        <v>99</v>
      </c>
    </row>
    <row r="31" spans="2:9">
      <c r="B31" s="21" t="s">
        <v>1059</v>
      </c>
      <c r="C31" s="44">
        <v>0.4</v>
      </c>
      <c r="D31" s="21" t="s">
        <v>33</v>
      </c>
      <c r="E31" s="21" t="s">
        <v>51</v>
      </c>
      <c r="F31" s="21">
        <v>2020</v>
      </c>
      <c r="G31" s="51" t="s">
        <v>1060</v>
      </c>
    </row>
    <row r="32" spans="2:9">
      <c r="B32" s="21" t="s">
        <v>1061</v>
      </c>
      <c r="C32" s="44">
        <v>0.35</v>
      </c>
      <c r="D32" s="21" t="s">
        <v>33</v>
      </c>
      <c r="E32" s="21" t="s">
        <v>51</v>
      </c>
      <c r="F32" s="21">
        <v>2020</v>
      </c>
      <c r="G32" s="51" t="s">
        <v>1060</v>
      </c>
      <c r="H32" s="27" t="s">
        <v>52</v>
      </c>
    </row>
    <row r="33" spans="1:9">
      <c r="B33" s="21" t="s">
        <v>1062</v>
      </c>
      <c r="C33" s="44">
        <v>0.25</v>
      </c>
      <c r="D33" s="21" t="s">
        <v>33</v>
      </c>
      <c r="E33" s="21" t="s">
        <v>51</v>
      </c>
      <c r="F33" s="21">
        <v>2020</v>
      </c>
      <c r="G33" s="51" t="s">
        <v>1060</v>
      </c>
      <c r="H33" s="27" t="s">
        <v>52</v>
      </c>
    </row>
    <row r="34" spans="1:9">
      <c r="B34" s="21" t="s">
        <v>1072</v>
      </c>
      <c r="C34" s="45">
        <f>C36/C35/C28</f>
        <v>6.6306401883101815E-2</v>
      </c>
      <c r="D34" s="21" t="s">
        <v>33</v>
      </c>
      <c r="E34" s="27" t="s">
        <v>52</v>
      </c>
      <c r="F34" s="27" t="s">
        <v>52</v>
      </c>
      <c r="G34" s="27" t="s">
        <v>52</v>
      </c>
      <c r="H34" s="27" t="s">
        <v>52</v>
      </c>
    </row>
    <row r="35" spans="1:9">
      <c r="B35" s="20" t="s">
        <v>1073</v>
      </c>
      <c r="C35" s="79">
        <v>77.5</v>
      </c>
      <c r="D35" s="21" t="s">
        <v>1074</v>
      </c>
      <c r="E35" s="27" t="s">
        <v>52</v>
      </c>
      <c r="F35" s="27">
        <v>2021</v>
      </c>
      <c r="I35" s="21" t="s">
        <v>1075</v>
      </c>
    </row>
    <row r="36" spans="1:9">
      <c r="B36" s="20" t="s">
        <v>1076</v>
      </c>
      <c r="C36" s="79">
        <v>10</v>
      </c>
      <c r="D36" s="21" t="s">
        <v>1077</v>
      </c>
      <c r="E36" s="21" t="s">
        <v>298</v>
      </c>
    </row>
    <row r="37" spans="1:9">
      <c r="B37" s="21" t="s">
        <v>104</v>
      </c>
      <c r="C37" s="21">
        <v>0</v>
      </c>
      <c r="D37" s="21" t="s">
        <v>33</v>
      </c>
      <c r="E37" s="21" t="s">
        <v>1067</v>
      </c>
      <c r="F37" s="21" t="s">
        <v>52</v>
      </c>
      <c r="G37" s="51" t="s">
        <v>1068</v>
      </c>
    </row>
    <row r="38" spans="1:9">
      <c r="G38" s="51"/>
    </row>
    <row r="39" spans="1:9">
      <c r="B39" s="25" t="s">
        <v>236</v>
      </c>
      <c r="C39" s="25"/>
    </row>
    <row r="40" spans="1:9">
      <c r="B40" s="21" t="s">
        <v>106</v>
      </c>
      <c r="C40" s="74" t="s">
        <v>1078</v>
      </c>
      <c r="D40" s="21" t="s">
        <v>33</v>
      </c>
      <c r="E40" s="27" t="s">
        <v>52</v>
      </c>
      <c r="F40" s="27" t="s">
        <v>52</v>
      </c>
      <c r="G40" s="27" t="s">
        <v>52</v>
      </c>
      <c r="H40" s="27" t="s">
        <v>52</v>
      </c>
      <c r="I40" s="21" t="s">
        <v>1079</v>
      </c>
    </row>
    <row r="41" spans="1:9">
      <c r="B41" s="21" t="s">
        <v>104</v>
      </c>
      <c r="C41" s="74" t="s">
        <v>1078</v>
      </c>
      <c r="D41" s="21" t="s">
        <v>33</v>
      </c>
      <c r="I41" s="21" t="s">
        <v>1080</v>
      </c>
    </row>
    <row r="42" spans="1:9">
      <c r="B42" s="25" t="s">
        <v>599</v>
      </c>
      <c r="C42" s="97">
        <v>7.0000000000000007E-2</v>
      </c>
      <c r="D42" s="27"/>
      <c r="E42" s="27"/>
      <c r="F42" s="27"/>
      <c r="G42" s="27"/>
      <c r="I42" s="21" t="s">
        <v>1081</v>
      </c>
    </row>
    <row r="44" spans="1:9">
      <c r="A44" s="9">
        <v>2</v>
      </c>
      <c r="B44" s="53" t="s">
        <v>82</v>
      </c>
      <c r="C44" s="53"/>
      <c r="D44" s="35"/>
      <c r="E44" s="35"/>
      <c r="F44" s="35"/>
      <c r="G44" s="35"/>
      <c r="H44" s="35"/>
      <c r="I44" s="35"/>
    </row>
    <row r="45" spans="1:9">
      <c r="B45" s="24" t="s">
        <v>47</v>
      </c>
      <c r="C45" s="24" t="s">
        <v>48</v>
      </c>
      <c r="D45" s="24" t="s">
        <v>49</v>
      </c>
      <c r="E45" s="24" t="s">
        <v>28</v>
      </c>
      <c r="F45" s="24" t="s">
        <v>50</v>
      </c>
      <c r="G45" s="24" t="s">
        <v>29</v>
      </c>
      <c r="H45" s="24" t="s">
        <v>122</v>
      </c>
      <c r="I45" s="24" t="s">
        <v>123</v>
      </c>
    </row>
    <row r="47" spans="1:9">
      <c r="B47" s="25" t="s">
        <v>1082</v>
      </c>
      <c r="C47" s="95">
        <v>95</v>
      </c>
      <c r="D47" s="21" t="s">
        <v>1083</v>
      </c>
      <c r="E47" s="21" t="s">
        <v>51</v>
      </c>
      <c r="F47" s="21">
        <v>2021</v>
      </c>
      <c r="G47" s="34" t="s">
        <v>36</v>
      </c>
      <c r="H47" s="27" t="s">
        <v>52</v>
      </c>
      <c r="I47" s="27" t="s">
        <v>52</v>
      </c>
    </row>
    <row r="48" spans="1:9">
      <c r="B48" s="21" t="s">
        <v>1084</v>
      </c>
      <c r="C48" s="21">
        <v>153</v>
      </c>
      <c r="D48" s="21" t="s">
        <v>44</v>
      </c>
      <c r="E48" s="21" t="s">
        <v>51</v>
      </c>
      <c r="F48" s="21">
        <v>2022</v>
      </c>
      <c r="G48" s="51" t="s">
        <v>450</v>
      </c>
      <c r="H48" s="27" t="s">
        <v>1047</v>
      </c>
      <c r="I48" s="27" t="s">
        <v>1085</v>
      </c>
    </row>
    <row r="50" spans="2:9">
      <c r="B50" s="25" t="s">
        <v>254</v>
      </c>
      <c r="C50" s="25"/>
    </row>
    <row r="51" spans="2:9">
      <c r="B51" s="21" t="s">
        <v>616</v>
      </c>
      <c r="C51" s="59">
        <v>0.32</v>
      </c>
      <c r="D51" s="21" t="s">
        <v>33</v>
      </c>
      <c r="E51" s="21" t="s">
        <v>51</v>
      </c>
      <c r="F51" s="21">
        <v>2022</v>
      </c>
      <c r="G51" s="51" t="s">
        <v>450</v>
      </c>
      <c r="H51" s="21" t="s">
        <v>265</v>
      </c>
    </row>
    <row r="52" spans="2:9">
      <c r="B52" s="21" t="s">
        <v>1086</v>
      </c>
      <c r="C52" s="95">
        <f>(C53+C55)</f>
        <v>49.571153645833334</v>
      </c>
      <c r="D52" s="21" t="s">
        <v>43</v>
      </c>
      <c r="E52" s="27" t="s">
        <v>52</v>
      </c>
      <c r="F52" s="27" t="s">
        <v>52</v>
      </c>
      <c r="G52" s="27" t="s">
        <v>52</v>
      </c>
      <c r="H52" s="27" t="s">
        <v>52</v>
      </c>
    </row>
    <row r="53" spans="2:9">
      <c r="B53" s="21" t="s">
        <v>1087</v>
      </c>
      <c r="C53" s="149">
        <f>C47*190000*C54/24/10^6/C51</f>
        <v>5.6171223958333334</v>
      </c>
      <c r="D53" s="21" t="s">
        <v>43</v>
      </c>
      <c r="E53" s="21" t="s">
        <v>52</v>
      </c>
      <c r="F53" s="21" t="s">
        <v>52</v>
      </c>
      <c r="G53" s="21" t="s">
        <v>52</v>
      </c>
      <c r="H53" s="21" t="s">
        <v>52</v>
      </c>
      <c r="I53" s="21" t="s">
        <v>1088</v>
      </c>
    </row>
    <row r="54" spans="2:9">
      <c r="B54" s="28" t="s">
        <v>1089</v>
      </c>
      <c r="C54" s="131">
        <v>2.39</v>
      </c>
      <c r="D54" s="21" t="s">
        <v>1090</v>
      </c>
      <c r="E54" s="21" t="s">
        <v>937</v>
      </c>
      <c r="G54" s="51" t="s">
        <v>938</v>
      </c>
    </row>
    <row r="55" spans="2:9">
      <c r="B55" s="21" t="s">
        <v>1091</v>
      </c>
      <c r="C55" s="170">
        <f>C48*C56*10^6*3.17*10^-8/C51</f>
        <v>43.95403125</v>
      </c>
      <c r="D55" s="21" t="s">
        <v>43</v>
      </c>
      <c r="E55" s="21" t="s">
        <v>52</v>
      </c>
      <c r="F55" s="21" t="s">
        <v>52</v>
      </c>
      <c r="I55" s="21" t="s">
        <v>1092</v>
      </c>
    </row>
    <row r="56" spans="2:9">
      <c r="B56" s="28" t="s">
        <v>1093</v>
      </c>
      <c r="C56" s="21">
        <v>2.9</v>
      </c>
      <c r="D56" s="21" t="s">
        <v>1094</v>
      </c>
      <c r="G56" s="51" t="s">
        <v>1095</v>
      </c>
    </row>
    <row r="57" spans="2:9">
      <c r="B57" s="28" t="s">
        <v>1096</v>
      </c>
      <c r="C57" s="28">
        <v>372.3</v>
      </c>
      <c r="D57" s="21" t="s">
        <v>1097</v>
      </c>
      <c r="E57" s="21" t="s">
        <v>1098</v>
      </c>
      <c r="F57" s="21">
        <v>2022</v>
      </c>
      <c r="G57" s="15" t="s">
        <v>1099</v>
      </c>
    </row>
    <row r="58" spans="2:9">
      <c r="B58" s="40" t="s">
        <v>258</v>
      </c>
      <c r="C58" s="46">
        <v>1.95</v>
      </c>
      <c r="D58" s="40" t="s">
        <v>259</v>
      </c>
      <c r="E58" s="21" t="s">
        <v>260</v>
      </c>
      <c r="F58" s="21">
        <v>2021</v>
      </c>
      <c r="G58" s="51" t="s">
        <v>261</v>
      </c>
      <c r="H58" s="21" t="s">
        <v>262</v>
      </c>
      <c r="I58" s="21" t="s">
        <v>263</v>
      </c>
    </row>
    <row r="59" spans="2:9">
      <c r="B59" s="29" t="s">
        <v>264</v>
      </c>
      <c r="C59" s="84" t="s">
        <v>52</v>
      </c>
      <c r="D59" s="40" t="s">
        <v>33</v>
      </c>
      <c r="E59" s="21" t="s">
        <v>51</v>
      </c>
      <c r="F59" s="21">
        <v>2022</v>
      </c>
      <c r="G59" s="51" t="s">
        <v>19</v>
      </c>
      <c r="H59" s="21" t="s">
        <v>265</v>
      </c>
      <c r="I59" s="21" t="s">
        <v>447</v>
      </c>
    </row>
    <row r="60" spans="2:9" hidden="1">
      <c r="B60" s="20" t="s">
        <v>266</v>
      </c>
      <c r="C60" s="20"/>
      <c r="D60" s="21" t="s">
        <v>267</v>
      </c>
      <c r="E60" s="21" t="s">
        <v>268</v>
      </c>
      <c r="F60" s="21">
        <v>2020</v>
      </c>
      <c r="G60" s="51" t="s">
        <v>269</v>
      </c>
      <c r="H60" s="21" t="s">
        <v>270</v>
      </c>
      <c r="I60" s="21" t="s">
        <v>271</v>
      </c>
    </row>
    <row r="61" spans="2:9">
      <c r="B61" s="21" t="s">
        <v>1100</v>
      </c>
      <c r="C61" s="95">
        <f>C52*C58</f>
        <v>96.663749609375003</v>
      </c>
      <c r="D61" s="21" t="s">
        <v>295</v>
      </c>
      <c r="E61" s="27" t="s">
        <v>52</v>
      </c>
      <c r="F61" s="27" t="s">
        <v>52</v>
      </c>
      <c r="G61" s="27" t="s">
        <v>52</v>
      </c>
      <c r="H61" s="27" t="s">
        <v>52</v>
      </c>
    </row>
    <row r="63" spans="2:9">
      <c r="B63" s="25" t="s">
        <v>1510</v>
      </c>
      <c r="C63" s="25"/>
    </row>
    <row r="64" spans="2:9">
      <c r="B64" s="21" t="s">
        <v>443</v>
      </c>
      <c r="C64" s="104">
        <f>410-177-C65</f>
        <v>202</v>
      </c>
      <c r="D64" s="21" t="s">
        <v>44</v>
      </c>
      <c r="E64" s="27" t="s">
        <v>51</v>
      </c>
      <c r="F64" s="27" t="s">
        <v>52</v>
      </c>
      <c r="G64" s="27" t="s">
        <v>1101</v>
      </c>
      <c r="H64" s="27" t="s">
        <v>1102</v>
      </c>
      <c r="I64" s="51" t="s">
        <v>1103</v>
      </c>
    </row>
    <row r="65" spans="1:9">
      <c r="B65" s="20" t="s">
        <v>1104</v>
      </c>
      <c r="C65" s="20">
        <f>'GAS-P'!C15</f>
        <v>31</v>
      </c>
      <c r="E65" s="27"/>
      <c r="F65" s="27"/>
      <c r="G65" s="27"/>
      <c r="H65" s="27"/>
      <c r="I65" s="51"/>
    </row>
    <row r="66" spans="1:9">
      <c r="B66" s="21" t="s">
        <v>1495</v>
      </c>
      <c r="C66" s="42">
        <v>80</v>
      </c>
      <c r="D66" s="21" t="s">
        <v>297</v>
      </c>
      <c r="E66" s="21" t="s">
        <v>298</v>
      </c>
      <c r="G66" s="63" t="s">
        <v>457</v>
      </c>
      <c r="I66" s="21" t="s">
        <v>458</v>
      </c>
    </row>
    <row r="67" spans="1:9">
      <c r="B67" s="21" t="s">
        <v>1511</v>
      </c>
      <c r="C67" s="49">
        <v>175</v>
      </c>
      <c r="D67" s="21" t="s">
        <v>297</v>
      </c>
      <c r="E67" s="21" t="s">
        <v>298</v>
      </c>
      <c r="G67" s="63" t="s">
        <v>457</v>
      </c>
      <c r="I67" s="21" t="s">
        <v>460</v>
      </c>
    </row>
    <row r="68" spans="1:9">
      <c r="B68" s="21" t="s">
        <v>453</v>
      </c>
      <c r="C68" s="104">
        <f>C67*$C$64/1000</f>
        <v>35.35</v>
      </c>
      <c r="D68" s="27" t="s">
        <v>53</v>
      </c>
      <c r="E68" s="27" t="s">
        <v>52</v>
      </c>
      <c r="F68" s="27" t="s">
        <v>52</v>
      </c>
      <c r="G68" s="27" t="s">
        <v>52</v>
      </c>
    </row>
    <row r="69" spans="1:9">
      <c r="B69" s="21" t="s">
        <v>455</v>
      </c>
      <c r="C69" s="104">
        <f>C66*$C$64/1000</f>
        <v>16.16</v>
      </c>
      <c r="D69" s="27" t="s">
        <v>53</v>
      </c>
      <c r="E69" s="27" t="s">
        <v>52</v>
      </c>
      <c r="F69" s="27" t="s">
        <v>52</v>
      </c>
      <c r="G69" s="27" t="s">
        <v>52</v>
      </c>
    </row>
    <row r="70" spans="1:9">
      <c r="C70" s="149"/>
    </row>
    <row r="71" spans="1:9">
      <c r="A71" s="9">
        <v>3</v>
      </c>
      <c r="B71" s="53" t="s">
        <v>62</v>
      </c>
      <c r="C71" s="53"/>
      <c r="D71" s="35"/>
      <c r="E71" s="35"/>
      <c r="F71" s="35"/>
      <c r="G71" s="35"/>
      <c r="H71" s="35"/>
      <c r="I71" s="35"/>
    </row>
    <row r="72" spans="1:9">
      <c r="B72" s="24" t="s">
        <v>47</v>
      </c>
      <c r="C72" s="24" t="s">
        <v>48</v>
      </c>
      <c r="D72" s="24" t="s">
        <v>49</v>
      </c>
      <c r="E72" s="24" t="s">
        <v>28</v>
      </c>
      <c r="F72" s="24" t="s">
        <v>50</v>
      </c>
      <c r="G72" s="24" t="s">
        <v>29</v>
      </c>
      <c r="H72" s="24" t="s">
        <v>122</v>
      </c>
      <c r="I72" s="24" t="s">
        <v>123</v>
      </c>
    </row>
    <row r="74" spans="1:9">
      <c r="B74" s="21" t="s">
        <v>304</v>
      </c>
      <c r="C74" s="21">
        <v>0</v>
      </c>
      <c r="D74" s="21" t="s">
        <v>33</v>
      </c>
      <c r="E74" s="27" t="s">
        <v>52</v>
      </c>
      <c r="F74" s="27" t="s">
        <v>52</v>
      </c>
      <c r="G74" s="27" t="s">
        <v>52</v>
      </c>
      <c r="H74" s="27" t="s">
        <v>52</v>
      </c>
      <c r="I74" s="21" t="s">
        <v>132</v>
      </c>
    </row>
    <row r="75" spans="1:9">
      <c r="B75" s="21" t="s">
        <v>634</v>
      </c>
      <c r="C75" s="97">
        <f>C42</f>
        <v>7.0000000000000007E-2</v>
      </c>
      <c r="D75" s="21" t="s">
        <v>33</v>
      </c>
      <c r="E75" s="27" t="s">
        <v>52</v>
      </c>
      <c r="F75" s="27" t="s">
        <v>52</v>
      </c>
      <c r="G75" s="27" t="s">
        <v>52</v>
      </c>
      <c r="H75" s="27" t="s">
        <v>52</v>
      </c>
    </row>
    <row r="76" spans="1:9">
      <c r="B76" s="25" t="s">
        <v>467</v>
      </c>
      <c r="C76" s="46">
        <v>6.4</v>
      </c>
      <c r="D76" s="21" t="s">
        <v>1071</v>
      </c>
      <c r="E76" s="27" t="s">
        <v>178</v>
      </c>
      <c r="F76" s="21">
        <v>2022</v>
      </c>
      <c r="G76" s="60" t="s">
        <v>1105</v>
      </c>
      <c r="H76" s="27" t="s">
        <v>52</v>
      </c>
      <c r="I76" s="21" t="s">
        <v>1106</v>
      </c>
    </row>
    <row r="77" spans="1:9">
      <c r="B77" s="21" t="s">
        <v>469</v>
      </c>
      <c r="C77" s="40">
        <f>(C76*'GAS-P'!C21*365*1039000)/POWER(10,9)</f>
        <v>968.4144960000001</v>
      </c>
      <c r="D77" s="21" t="s">
        <v>295</v>
      </c>
      <c r="E77" s="27" t="s">
        <v>52</v>
      </c>
      <c r="F77" s="27" t="s">
        <v>52</v>
      </c>
      <c r="G77" s="27" t="s">
        <v>52</v>
      </c>
      <c r="H77" s="27" t="s">
        <v>52</v>
      </c>
      <c r="I77" s="21" t="s">
        <v>1107</v>
      </c>
    </row>
    <row r="78" spans="1:9">
      <c r="B78" s="21" t="s">
        <v>318</v>
      </c>
      <c r="C78" s="40">
        <f>C77*C75</f>
        <v>67.789014720000011</v>
      </c>
      <c r="D78" s="21" t="s">
        <v>295</v>
      </c>
      <c r="E78" s="27" t="s">
        <v>52</v>
      </c>
      <c r="F78" s="27" t="s">
        <v>52</v>
      </c>
      <c r="G78" s="27" t="s">
        <v>52</v>
      </c>
      <c r="H78" s="27" t="s">
        <v>52</v>
      </c>
    </row>
    <row r="80" spans="1:9">
      <c r="B80" s="25" t="s">
        <v>1108</v>
      </c>
      <c r="C80" s="105">
        <f>C75*C84/C81</f>
        <v>2.5948160000000005E-2</v>
      </c>
      <c r="D80" s="21" t="s">
        <v>33</v>
      </c>
      <c r="E80" s="27" t="s">
        <v>52</v>
      </c>
      <c r="F80" s="27" t="s">
        <v>52</v>
      </c>
      <c r="G80" s="27" t="s">
        <v>52</v>
      </c>
      <c r="H80" s="27" t="s">
        <v>52</v>
      </c>
    </row>
    <row r="81" spans="2:9">
      <c r="B81" s="20" t="s">
        <v>1109</v>
      </c>
      <c r="C81" s="82">
        <v>125</v>
      </c>
      <c r="D81" s="21" t="s">
        <v>1110</v>
      </c>
      <c r="E81" s="27" t="s">
        <v>178</v>
      </c>
      <c r="F81" s="27">
        <v>2022</v>
      </c>
      <c r="G81" s="60" t="s">
        <v>1111</v>
      </c>
      <c r="H81" s="27" t="s">
        <v>52</v>
      </c>
      <c r="I81" s="21" t="s">
        <v>1112</v>
      </c>
    </row>
    <row r="82" spans="2:9">
      <c r="B82" s="21" t="s">
        <v>1113</v>
      </c>
      <c r="C82" s="89">
        <v>0.4</v>
      </c>
      <c r="F82" s="21">
        <v>2020</v>
      </c>
      <c r="G82" s="34" t="s">
        <v>1114</v>
      </c>
    </row>
    <row r="83" spans="2:9">
      <c r="B83" s="20" t="s">
        <v>1115</v>
      </c>
      <c r="C83" s="20">
        <v>7.24</v>
      </c>
      <c r="D83" s="21" t="s">
        <v>1116</v>
      </c>
      <c r="E83" s="27" t="s">
        <v>178</v>
      </c>
      <c r="F83" s="27">
        <v>2022</v>
      </c>
      <c r="G83" s="60" t="s">
        <v>1111</v>
      </c>
      <c r="H83" s="27" t="s">
        <v>52</v>
      </c>
      <c r="I83" s="21" t="s">
        <v>1117</v>
      </c>
    </row>
    <row r="84" spans="2:9">
      <c r="B84" s="20" t="s">
        <v>1118</v>
      </c>
      <c r="C84" s="55">
        <f>C76*C83</f>
        <v>46.336000000000006</v>
      </c>
      <c r="D84" s="21" t="s">
        <v>328</v>
      </c>
      <c r="E84" s="27" t="s">
        <v>52</v>
      </c>
      <c r="F84" s="27" t="s">
        <v>52</v>
      </c>
      <c r="G84" s="27" t="s">
        <v>52</v>
      </c>
      <c r="H84" s="27" t="s">
        <v>52</v>
      </c>
    </row>
    <row r="86" spans="2:9">
      <c r="B86" s="25" t="s">
        <v>1119</v>
      </c>
      <c r="C86" s="105">
        <f>C75*C91/C87</f>
        <v>3.2515707707707717E-2</v>
      </c>
      <c r="D86" s="21" t="s">
        <v>33</v>
      </c>
      <c r="E86" s="27" t="s">
        <v>52</v>
      </c>
      <c r="F86" s="27" t="s">
        <v>52</v>
      </c>
      <c r="G86" s="27" t="s">
        <v>52</v>
      </c>
      <c r="H86" s="27" t="s">
        <v>52</v>
      </c>
      <c r="I86" s="21" t="s">
        <v>1120</v>
      </c>
    </row>
    <row r="87" spans="2:9">
      <c r="B87" s="20" t="s">
        <v>1121</v>
      </c>
      <c r="C87" s="72">
        <v>600</v>
      </c>
      <c r="D87" s="21" t="s">
        <v>463</v>
      </c>
      <c r="F87" s="21" t="s">
        <v>1122</v>
      </c>
    </row>
    <row r="88" spans="2:9">
      <c r="B88" s="21" t="s">
        <v>1123</v>
      </c>
      <c r="C88" s="89">
        <v>0.02</v>
      </c>
      <c r="F88" s="21">
        <v>2020</v>
      </c>
      <c r="G88" s="34" t="s">
        <v>1114</v>
      </c>
    </row>
    <row r="89" spans="2:9">
      <c r="B89" s="20" t="s">
        <v>1124</v>
      </c>
      <c r="C89" s="72">
        <v>1.2762762762762765</v>
      </c>
      <c r="D89" s="21" t="s">
        <v>1125</v>
      </c>
      <c r="E89" s="21" t="s">
        <v>51</v>
      </c>
      <c r="F89" s="21">
        <v>2020</v>
      </c>
      <c r="G89" s="21" t="s">
        <v>58</v>
      </c>
      <c r="I89" s="21" t="s">
        <v>1126</v>
      </c>
    </row>
    <row r="90" spans="2:9">
      <c r="B90" s="20" t="s">
        <v>1127</v>
      </c>
      <c r="C90" s="72">
        <f>C89*34.121</f>
        <v>43.54782282282283</v>
      </c>
      <c r="D90" s="21" t="s">
        <v>1116</v>
      </c>
      <c r="E90" s="27" t="s">
        <v>52</v>
      </c>
      <c r="F90" s="27" t="s">
        <v>52</v>
      </c>
      <c r="G90" s="27" t="s">
        <v>52</v>
      </c>
      <c r="H90" s="27" t="s">
        <v>52</v>
      </c>
    </row>
    <row r="91" spans="2:9">
      <c r="B91" s="21" t="s">
        <v>1128</v>
      </c>
      <c r="C91" s="49">
        <f>C76*C90</f>
        <v>278.70606606606611</v>
      </c>
      <c r="D91" s="21" t="s">
        <v>1129</v>
      </c>
      <c r="E91" s="27" t="s">
        <v>52</v>
      </c>
      <c r="F91" s="27" t="s">
        <v>52</v>
      </c>
      <c r="G91" s="27" t="s">
        <v>52</v>
      </c>
      <c r="H91" s="27" t="s">
        <v>52</v>
      </c>
    </row>
    <row r="92" spans="2:9" hidden="1">
      <c r="B92" s="21" t="s">
        <v>1130</v>
      </c>
      <c r="D92" s="21" t="s">
        <v>1125</v>
      </c>
      <c r="E92" s="21" t="s">
        <v>51</v>
      </c>
      <c r="F92" s="21">
        <v>2021</v>
      </c>
      <c r="G92" s="21" t="s">
        <v>1131</v>
      </c>
      <c r="H92" s="21" t="s">
        <v>290</v>
      </c>
    </row>
    <row r="94" spans="2:9">
      <c r="B94" s="25" t="s">
        <v>1132</v>
      </c>
      <c r="C94" s="105">
        <f>C75*C76/C95</f>
        <v>3.0270270270270273E-2</v>
      </c>
      <c r="D94" s="21" t="s">
        <v>33</v>
      </c>
      <c r="E94" s="27" t="s">
        <v>52</v>
      </c>
      <c r="F94" s="21">
        <v>2020</v>
      </c>
      <c r="G94" s="27" t="s">
        <v>52</v>
      </c>
      <c r="H94" s="27" t="s">
        <v>52</v>
      </c>
      <c r="I94" s="27"/>
    </row>
    <row r="95" spans="2:9">
      <c r="B95" s="20" t="s">
        <v>1133</v>
      </c>
      <c r="C95" s="20">
        <v>14.8</v>
      </c>
      <c r="D95" s="21" t="s">
        <v>1134</v>
      </c>
      <c r="E95" s="21" t="s">
        <v>178</v>
      </c>
      <c r="F95" s="21">
        <v>2022</v>
      </c>
      <c r="G95" s="51" t="s">
        <v>1135</v>
      </c>
      <c r="H95" s="21" t="s">
        <v>1136</v>
      </c>
      <c r="I95" s="21" t="s">
        <v>1137</v>
      </c>
    </row>
    <row r="96" spans="2:9">
      <c r="B96" s="21" t="s">
        <v>1113</v>
      </c>
      <c r="C96" s="89">
        <v>0.15</v>
      </c>
      <c r="G96" s="21">
        <v>2020</v>
      </c>
      <c r="H96" s="34" t="s">
        <v>1114</v>
      </c>
    </row>
    <row r="98" spans="1:9">
      <c r="A98" s="9">
        <v>4</v>
      </c>
      <c r="B98" s="53" t="s">
        <v>70</v>
      </c>
      <c r="C98" s="53"/>
      <c r="D98" s="35"/>
      <c r="E98" s="35"/>
      <c r="F98" s="35"/>
      <c r="G98" s="35"/>
      <c r="H98" s="35"/>
      <c r="I98" s="35"/>
    </row>
    <row r="99" spans="1:9">
      <c r="B99" s="24" t="s">
        <v>47</v>
      </c>
      <c r="C99" s="24" t="s">
        <v>48</v>
      </c>
      <c r="D99" s="24" t="s">
        <v>49</v>
      </c>
      <c r="E99" s="24" t="s">
        <v>28</v>
      </c>
      <c r="F99" s="24" t="s">
        <v>50</v>
      </c>
      <c r="G99" s="24" t="s">
        <v>29</v>
      </c>
      <c r="H99" s="24" t="s">
        <v>122</v>
      </c>
      <c r="I99" s="24" t="s">
        <v>123</v>
      </c>
    </row>
    <row r="101" spans="1:9">
      <c r="B101" s="25" t="s">
        <v>1138</v>
      </c>
      <c r="C101" s="25"/>
    </row>
    <row r="102" spans="1:9">
      <c r="B102" s="21" t="s">
        <v>1139</v>
      </c>
      <c r="D102" s="27" t="s">
        <v>864</v>
      </c>
      <c r="E102" s="27" t="s">
        <v>52</v>
      </c>
      <c r="F102" s="27" t="s">
        <v>52</v>
      </c>
      <c r="G102" s="27" t="s">
        <v>52</v>
      </c>
      <c r="I102" s="21" t="s">
        <v>587</v>
      </c>
    </row>
    <row r="103" spans="1:9">
      <c r="B103" s="21" t="s">
        <v>1140</v>
      </c>
      <c r="D103" s="27" t="s">
        <v>864</v>
      </c>
      <c r="E103" s="27" t="s">
        <v>52</v>
      </c>
      <c r="F103" s="27" t="s">
        <v>52</v>
      </c>
      <c r="G103" s="27" t="s">
        <v>52</v>
      </c>
      <c r="I103" s="21" t="s">
        <v>587</v>
      </c>
    </row>
    <row r="104" spans="1:9">
      <c r="B104" s="21" t="s">
        <v>486</v>
      </c>
      <c r="D104" s="27" t="s">
        <v>52</v>
      </c>
      <c r="E104" s="27"/>
      <c r="F104" s="27" t="s">
        <v>52</v>
      </c>
      <c r="G104" s="27" t="s">
        <v>52</v>
      </c>
      <c r="I104" s="21" t="s">
        <v>1141</v>
      </c>
    </row>
    <row r="105" spans="1:9">
      <c r="B105" s="25" t="s">
        <v>1142</v>
      </c>
      <c r="C105" s="25"/>
      <c r="D105" s="27" t="s">
        <v>52</v>
      </c>
      <c r="E105" s="27" t="s">
        <v>52</v>
      </c>
      <c r="F105" s="27" t="s">
        <v>52</v>
      </c>
      <c r="G105" s="27" t="s">
        <v>52</v>
      </c>
    </row>
    <row r="106" spans="1:9">
      <c r="B106" s="21" t="s">
        <v>1139</v>
      </c>
      <c r="C106" s="21">
        <v>399</v>
      </c>
      <c r="D106" s="27" t="s">
        <v>864</v>
      </c>
      <c r="E106" s="27" t="s">
        <v>52</v>
      </c>
      <c r="F106" s="27" t="s">
        <v>52</v>
      </c>
      <c r="G106" s="27" t="s">
        <v>52</v>
      </c>
      <c r="H106" s="21" t="s">
        <v>1143</v>
      </c>
    </row>
    <row r="107" spans="1:9">
      <c r="B107" s="21" t="s">
        <v>486</v>
      </c>
      <c r="C107" s="21">
        <v>2000</v>
      </c>
      <c r="D107" s="27" t="s">
        <v>52</v>
      </c>
      <c r="E107" s="27" t="s">
        <v>52</v>
      </c>
      <c r="F107" s="27">
        <v>2020</v>
      </c>
      <c r="G107" s="21" t="s">
        <v>1144</v>
      </c>
      <c r="I107" s="21" t="s">
        <v>1145</v>
      </c>
    </row>
    <row r="108" spans="1:9">
      <c r="B108" s="25" t="s">
        <v>1146</v>
      </c>
      <c r="C108" s="25"/>
    </row>
    <row r="109" spans="1:9">
      <c r="B109" s="21" t="s">
        <v>1006</v>
      </c>
      <c r="C109" s="21">
        <v>50</v>
      </c>
      <c r="D109" s="21" t="s">
        <v>1007</v>
      </c>
      <c r="E109" s="21" t="s">
        <v>1008</v>
      </c>
      <c r="F109" s="21">
        <v>2017</v>
      </c>
      <c r="G109" s="51" t="s">
        <v>1009</v>
      </c>
      <c r="H109" s="21" t="s">
        <v>1010</v>
      </c>
    </row>
    <row r="110" spans="1:9">
      <c r="B110" s="21" t="s">
        <v>1011</v>
      </c>
      <c r="C110" s="95">
        <f>(21%*1.6*POWER(10,3))*50/1000</f>
        <v>16.8</v>
      </c>
      <c r="D110" s="21" t="s">
        <v>295</v>
      </c>
      <c r="E110" s="27" t="s">
        <v>52</v>
      </c>
      <c r="F110" s="27" t="s">
        <v>52</v>
      </c>
      <c r="G110" s="27" t="s">
        <v>52</v>
      </c>
    </row>
    <row r="111" spans="1:9" hidden="1">
      <c r="B111" s="21" t="s">
        <v>1147</v>
      </c>
      <c r="C111" s="93">
        <v>90</v>
      </c>
      <c r="D111" s="21" t="s">
        <v>295</v>
      </c>
      <c r="E111" s="27"/>
      <c r="F111" s="27"/>
      <c r="G111" s="27"/>
      <c r="I111" s="21" t="s">
        <v>912</v>
      </c>
    </row>
    <row r="112" spans="1:9">
      <c r="B112" s="21" t="s">
        <v>1148</v>
      </c>
      <c r="C112" s="50">
        <f>C110/399</f>
        <v>4.2105263157894736E-2</v>
      </c>
      <c r="D112" s="21" t="s">
        <v>1149</v>
      </c>
      <c r="E112" s="27"/>
      <c r="F112" s="27"/>
      <c r="G112" s="27"/>
    </row>
    <row r="114" spans="2:9">
      <c r="B114" s="25" t="s">
        <v>1015</v>
      </c>
      <c r="C114" s="25"/>
    </row>
    <row r="115" spans="2:9">
      <c r="B115" s="131" t="s">
        <v>54</v>
      </c>
      <c r="C115" s="131">
        <v>690</v>
      </c>
      <c r="D115" s="131" t="s">
        <v>53</v>
      </c>
      <c r="E115" s="131" t="s">
        <v>357</v>
      </c>
      <c r="F115" s="131">
        <v>2022</v>
      </c>
      <c r="G115" s="131"/>
      <c r="H115" s="131"/>
      <c r="I115" s="131" t="s">
        <v>358</v>
      </c>
    </row>
    <row r="116" spans="2:9">
      <c r="B116" s="131" t="s">
        <v>359</v>
      </c>
      <c r="C116" s="150">
        <v>0.18</v>
      </c>
      <c r="D116" s="131" t="s">
        <v>33</v>
      </c>
      <c r="E116" s="131" t="s">
        <v>357</v>
      </c>
      <c r="F116" s="131">
        <v>2022</v>
      </c>
      <c r="G116" s="131"/>
      <c r="H116" s="131"/>
      <c r="I116" s="131"/>
    </row>
    <row r="117" spans="2:9">
      <c r="B117" s="21" t="s">
        <v>363</v>
      </c>
      <c r="C117" s="59">
        <v>9.11E-2</v>
      </c>
      <c r="D117" s="131" t="s">
        <v>33</v>
      </c>
      <c r="E117" s="21" t="s">
        <v>364</v>
      </c>
      <c r="F117" s="131">
        <v>2022</v>
      </c>
      <c r="G117" s="164" t="s">
        <v>493</v>
      </c>
    </row>
    <row r="118" spans="2:9">
      <c r="B118" s="194" t="s">
        <v>1484</v>
      </c>
      <c r="E118" s="27"/>
      <c r="H118"/>
      <c r="I118"/>
    </row>
    <row r="119" spans="2:9">
      <c r="B119" s="20" t="s">
        <v>1485</v>
      </c>
      <c r="C119" s="101">
        <v>0</v>
      </c>
      <c r="D119" s="21" t="s">
        <v>33</v>
      </c>
      <c r="E119" s="21" t="s">
        <v>1490</v>
      </c>
      <c r="F119" s="21">
        <v>2023</v>
      </c>
      <c r="G119" s="60" t="s">
        <v>1491</v>
      </c>
      <c r="I119"/>
    </row>
    <row r="120" spans="2:9">
      <c r="B120" s="20" t="s">
        <v>1486</v>
      </c>
      <c r="C120" s="101">
        <v>3.7999999999999999E-2</v>
      </c>
      <c r="D120" s="21" t="s">
        <v>33</v>
      </c>
      <c r="E120" s="21" t="s">
        <v>1490</v>
      </c>
      <c r="F120" s="21">
        <v>2023</v>
      </c>
      <c r="G120" s="60" t="s">
        <v>1491</v>
      </c>
      <c r="I120"/>
    </row>
    <row r="121" spans="2:9">
      <c r="B121" s="20" t="s">
        <v>1487</v>
      </c>
      <c r="C121" s="101">
        <v>3.7999999999999999E-2</v>
      </c>
      <c r="D121" s="21" t="s">
        <v>33</v>
      </c>
      <c r="E121" s="21" t="s">
        <v>1490</v>
      </c>
      <c r="F121" s="21">
        <v>2023</v>
      </c>
      <c r="G121" s="60" t="s">
        <v>1491</v>
      </c>
      <c r="I121"/>
    </row>
    <row r="122" spans="2:9">
      <c r="B122" s="20" t="s">
        <v>1488</v>
      </c>
      <c r="C122" s="101">
        <v>0.45300000000000001</v>
      </c>
      <c r="D122" s="21" t="s">
        <v>33</v>
      </c>
      <c r="E122" s="21" t="s">
        <v>1490</v>
      </c>
      <c r="F122" s="21">
        <v>2023</v>
      </c>
      <c r="G122" s="60" t="s">
        <v>1491</v>
      </c>
      <c r="I122"/>
    </row>
    <row r="123" spans="2:9">
      <c r="B123" s="20" t="s">
        <v>1489</v>
      </c>
      <c r="C123" s="101">
        <v>0.47199999999999998</v>
      </c>
      <c r="D123" s="21" t="s">
        <v>33</v>
      </c>
      <c r="E123" s="21" t="s">
        <v>1490</v>
      </c>
      <c r="F123" s="21">
        <v>2023</v>
      </c>
      <c r="G123" s="60" t="s">
        <v>1491</v>
      </c>
      <c r="I123"/>
    </row>
    <row r="125" spans="2:9" s="18" customFormat="1">
      <c r="B125" s="53" t="s">
        <v>370</v>
      </c>
      <c r="C125" s="53"/>
      <c r="D125" s="35"/>
      <c r="E125" s="35"/>
      <c r="F125" s="35"/>
      <c r="G125" s="35"/>
      <c r="H125" s="35"/>
      <c r="I125" s="35"/>
    </row>
  </sheetData>
  <phoneticPr fontId="16" type="noConversion"/>
  <dataValidations count="1">
    <dataValidation type="list" allowBlank="1" showInputMessage="1" showErrorMessage="1" sqref="J118:J123" xr:uid="{DF8FD35E-47F2-432B-8F0A-CDD93D993794}">
      <formula1>"Available annually, Available every few years, Infrequent / Once-off"</formula1>
    </dataValidation>
  </dataValidations>
  <hyperlinks>
    <hyperlink ref="G25" r:id="rId1" display="https://library.e.abb.com/public/9e770a172afc8d7ec125779e004b9974/Paper LNG_Rev A_lowres.pdf" xr:uid="{DFB634FE-82DF-4874-9494-02B9902F5E9C}"/>
    <hyperlink ref="G37" r:id="rId2" display="https://library.e.abb.com/public/9e770a172afc8d7ec125779e004b9974/Paper LNG_Rev A_lowres.pdf" xr:uid="{0494F81A-93D1-4F49-B3A7-7AD6A40FA73F}"/>
    <hyperlink ref="G56" r:id="rId3" location=":~:text=Liquefying%20natural%20gas%20is%20a,kg%20is%20necessary%20(considering%20a" xr:uid="{A0DF10B1-DA21-4837-9CC2-AFD82BC2262F}"/>
    <hyperlink ref="G54" r:id="rId4" display="https://www.eoriwyoming.org/library/economics/electrifying-the-oilfield-the-comparative-economics-of-grid-power-and-onsite-gas-generators-draft-30jan2017" xr:uid="{FE780EDA-CE60-42A7-B7EB-55ED5B341A8A}"/>
    <hyperlink ref="G47" r:id="rId5" xr:uid="{0B9A00F0-F8C5-41E1-B090-70A1890B0909}"/>
    <hyperlink ref="G66" r:id="rId6"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55E5D3BD-8D15-4096-8461-8339B5A1B967}"/>
    <hyperlink ref="G67" r:id="rId7"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7075F1B8-A1D7-4873-8E34-169F7E016882}"/>
    <hyperlink ref="G109" r:id="rId8" xr:uid="{9B1EDE4F-31EC-4D0A-BA59-02DAD4C4B73B}"/>
    <hyperlink ref="G20" r:id="rId9" xr:uid="{67B199A0-DBB8-47C4-83BC-003E2D77DB4D}"/>
    <hyperlink ref="G21" r:id="rId10" xr:uid="{27566E96-A21D-42DA-AC52-5646A9F0F49C}"/>
    <hyperlink ref="G82" r:id="rId11" xr:uid="{355ED34C-EF10-4EBE-AD22-1997DA1B4E0E}"/>
    <hyperlink ref="G88" r:id="rId12" xr:uid="{F01510A9-CF26-4925-B7E3-5D828CE45F97}"/>
    <hyperlink ref="H96" r:id="rId13" xr:uid="{152ACAC6-A7E2-4751-B46A-BDA57A1EC875}"/>
    <hyperlink ref="G19" r:id="rId14" xr:uid="{56A8CBAD-F9F1-4FAF-AEF6-83D86C2F406B}"/>
    <hyperlink ref="G60" r:id="rId15" xr:uid="{3C4D7B1C-4527-4F4E-B960-31FE77F4DB66}"/>
    <hyperlink ref="G29" r:id="rId16" display="https://www.eoriwyoming.org/library/economics/electrifying-the-oilfield-the-comparative-economics-of-grid-power-and-onsite-gas-generators-draft-30jan2017" xr:uid="{98870B6D-3986-4C93-B002-35895B9410EE}"/>
    <hyperlink ref="G32" r:id="rId17" xr:uid="{3E4E679D-020B-4F92-9F81-11DDACA0C3F0}"/>
    <hyperlink ref="G33" r:id="rId18" xr:uid="{5464B404-4B35-4A87-836E-38B826BCCBAD}"/>
    <hyperlink ref="G31" r:id="rId19" xr:uid="{4C487941-A267-4C30-91AE-4C43C2EA3801}"/>
    <hyperlink ref="G13" r:id="rId20" xr:uid="{27DECE47-C892-4073-BD96-97899498AA30}"/>
    <hyperlink ref="G48" r:id="rId21" xr:uid="{B51C335F-1D55-454D-A8AA-46F7C62A8D22}"/>
    <hyperlink ref="G51" r:id="rId22" xr:uid="{8597C793-C58F-49CF-80A4-E152619EABE9}"/>
    <hyperlink ref="G57" r:id="rId23" xr:uid="{CDF1242E-2872-48B2-9DE0-B550FCDAE740}"/>
    <hyperlink ref="G76" r:id="rId24" xr:uid="{92D268E9-2C59-43AE-9E98-0A0820DD647B}"/>
    <hyperlink ref="G83" r:id="rId25" xr:uid="{BA64DC1E-91DB-4A5A-B980-1B9B61C8C08B}"/>
    <hyperlink ref="G81" r:id="rId26" xr:uid="{AF3F620E-4E9B-4760-838D-26A6233981B7}"/>
    <hyperlink ref="G58" r:id="rId27" display="Renewable Power Generation Costs in 2021 (irena.org)" xr:uid="{E9A08D61-BC48-4EB1-9CA4-72D013A88A8F}"/>
    <hyperlink ref="G59" r:id="rId28" xr:uid="{4C4EC149-6D4D-4AFD-969E-6E0BA0203732}"/>
    <hyperlink ref="G117" r:id="rId29" xr:uid="{2636FD5B-D28D-4F6D-8459-4CDE0B0484BE}"/>
  </hyperlinks>
  <pageMargins left="0.7" right="0.7" top="0.75" bottom="0.75" header="0.3" footer="0.3"/>
  <pageSetup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9A2E-B150-46F0-A9D4-134DB43D1846}">
  <sheetPr codeName="Sheet18">
    <tabColor rgb="FFFFC000"/>
  </sheetPr>
  <dimension ref="A1:J64"/>
  <sheetViews>
    <sheetView showGridLines="0" topLeftCell="B10" zoomScale="87" zoomScaleNormal="55" workbookViewId="0">
      <selection activeCell="I11" sqref="I11"/>
    </sheetView>
  </sheetViews>
  <sheetFormatPr baseColWidth="10" defaultColWidth="8.83203125" defaultRowHeight="15"/>
  <cols>
    <col min="1" max="1" width="9.1640625" customWidth="1"/>
    <col min="2" max="2" width="40.83203125" customWidth="1"/>
    <col min="3" max="3" width="24" style="21" customWidth="1"/>
    <col min="4" max="4" width="26.33203125" style="21" customWidth="1"/>
    <col min="5" max="5" width="27.5" style="21" customWidth="1"/>
    <col min="6" max="6" width="11.83203125" style="21" customWidth="1"/>
    <col min="7" max="7" width="38.5" style="21" customWidth="1"/>
    <col min="8" max="8" width="26" style="21" customWidth="1"/>
    <col min="9" max="9" width="33.83203125" style="21" customWidth="1"/>
  </cols>
  <sheetData>
    <row r="1" spans="1:9" s="1" customFormat="1">
      <c r="C1" s="2"/>
      <c r="D1" s="2"/>
      <c r="E1" s="2"/>
      <c r="F1" s="2"/>
      <c r="G1" s="2"/>
      <c r="H1" s="2"/>
      <c r="I1" s="2"/>
    </row>
    <row r="2" spans="1:9" s="1" customFormat="1" ht="15" customHeight="1">
      <c r="B2" s="19" t="s">
        <v>371</v>
      </c>
      <c r="C2" s="43"/>
      <c r="D2" s="43"/>
      <c r="E2" s="2"/>
      <c r="F2" s="2"/>
      <c r="G2" s="2"/>
      <c r="H2" s="2"/>
      <c r="I2" s="2"/>
    </row>
    <row r="3" spans="1:9" s="1" customFormat="1" ht="15" customHeight="1">
      <c r="B3" s="19" t="s">
        <v>1150</v>
      </c>
      <c r="C3" s="43"/>
      <c r="D3" s="2"/>
      <c r="E3" s="2"/>
      <c r="F3" s="2"/>
      <c r="G3" s="2"/>
      <c r="H3" s="2"/>
      <c r="I3" s="2"/>
    </row>
    <row r="4" spans="1:9" s="4" customFormat="1" ht="15" customHeight="1" thickBot="1">
      <c r="C4" s="5"/>
      <c r="D4" s="5"/>
      <c r="E4" s="5"/>
      <c r="F4" s="5"/>
      <c r="G4" s="5"/>
      <c r="H4" s="5"/>
      <c r="I4" s="5"/>
    </row>
    <row r="6" spans="1:9" ht="14.25" customHeight="1"/>
    <row r="7" spans="1:9">
      <c r="B7" s="13" t="s">
        <v>120</v>
      </c>
      <c r="C7" s="35"/>
      <c r="D7" s="35"/>
      <c r="E7" s="35"/>
      <c r="F7" s="35"/>
      <c r="G7" s="35"/>
      <c r="H7" s="35"/>
      <c r="I7" s="35"/>
    </row>
    <row r="8" spans="1:9">
      <c r="B8" s="19" t="s">
        <v>47</v>
      </c>
      <c r="C8" s="24" t="s">
        <v>48</v>
      </c>
      <c r="D8" s="24" t="s">
        <v>49</v>
      </c>
      <c r="E8" s="24" t="s">
        <v>28</v>
      </c>
      <c r="F8" s="24" t="s">
        <v>50</v>
      </c>
      <c r="G8" s="24" t="s">
        <v>29</v>
      </c>
      <c r="H8" s="24" t="s">
        <v>122</v>
      </c>
      <c r="I8" s="24" t="s">
        <v>123</v>
      </c>
    </row>
    <row r="9" spans="1:9">
      <c r="B9" t="s">
        <v>124</v>
      </c>
      <c r="C9" s="50">
        <f>C10+C11</f>
        <v>0.75890000000000002</v>
      </c>
      <c r="D9" s="21" t="s">
        <v>125</v>
      </c>
    </row>
    <row r="10" spans="1:9">
      <c r="B10" s="20" t="s">
        <v>1554</v>
      </c>
      <c r="C10" s="120">
        <v>0.74</v>
      </c>
      <c r="D10" s="21" t="s">
        <v>125</v>
      </c>
      <c r="E10" s="21" t="s">
        <v>1153</v>
      </c>
      <c r="F10" s="21">
        <v>2018</v>
      </c>
      <c r="G10" s="60" t="s">
        <v>1158</v>
      </c>
      <c r="H10" s="21">
        <v>2</v>
      </c>
    </row>
    <row r="11" spans="1:9">
      <c r="B11" s="20" t="s">
        <v>1157</v>
      </c>
      <c r="C11" s="120">
        <v>1.89E-2</v>
      </c>
      <c r="D11" s="21" t="s">
        <v>125</v>
      </c>
      <c r="E11" s="21" t="s">
        <v>1153</v>
      </c>
      <c r="F11" s="21">
        <v>2018</v>
      </c>
      <c r="G11" s="60" t="s">
        <v>1158</v>
      </c>
      <c r="H11" s="27">
        <v>12</v>
      </c>
    </row>
    <row r="12" spans="1:9">
      <c r="B12" s="20" t="s">
        <v>1555</v>
      </c>
      <c r="C12" s="38" t="s">
        <v>42</v>
      </c>
      <c r="D12" s="21" t="s">
        <v>125</v>
      </c>
      <c r="G12" s="60"/>
      <c r="H12" s="27"/>
    </row>
    <row r="13" spans="1:9">
      <c r="B13" t="s">
        <v>133</v>
      </c>
      <c r="C13" s="38" t="s">
        <v>42</v>
      </c>
      <c r="D13" s="21" t="s">
        <v>125</v>
      </c>
    </row>
    <row r="14" spans="1:9">
      <c r="B14" t="s">
        <v>136</v>
      </c>
      <c r="C14" s="38" t="s">
        <v>42</v>
      </c>
      <c r="D14" s="21" t="s">
        <v>125</v>
      </c>
    </row>
    <row r="16" spans="1:9">
      <c r="A16" s="9"/>
      <c r="B16" s="13" t="s">
        <v>1159</v>
      </c>
      <c r="C16" s="35"/>
      <c r="D16" s="35"/>
      <c r="E16" s="35"/>
      <c r="F16" s="35"/>
      <c r="G16" s="35"/>
      <c r="H16" s="35"/>
      <c r="I16" s="35"/>
    </row>
    <row r="17" spans="1:10">
      <c r="B17" s="19" t="s">
        <v>47</v>
      </c>
      <c r="C17" s="24" t="s">
        <v>48</v>
      </c>
      <c r="D17" s="24" t="s">
        <v>49</v>
      </c>
      <c r="E17" s="24" t="s">
        <v>28</v>
      </c>
      <c r="F17" s="24" t="s">
        <v>50</v>
      </c>
      <c r="G17" s="24" t="s">
        <v>29</v>
      </c>
      <c r="H17" s="24" t="s">
        <v>122</v>
      </c>
      <c r="I17" s="24" t="s">
        <v>123</v>
      </c>
    </row>
    <row r="18" spans="1:10">
      <c r="B18" t="s">
        <v>1160</v>
      </c>
      <c r="C18" s="121">
        <v>58988</v>
      </c>
      <c r="D18" s="21" t="s">
        <v>1161</v>
      </c>
      <c r="E18" s="21" t="s">
        <v>1162</v>
      </c>
      <c r="F18" s="21">
        <v>2021</v>
      </c>
      <c r="G18" s="51" t="s">
        <v>1163</v>
      </c>
      <c r="H18" s="21">
        <v>34</v>
      </c>
    </row>
    <row r="19" spans="1:10">
      <c r="E19" s="27"/>
      <c r="F19" s="27"/>
      <c r="G19" s="27"/>
      <c r="H19" s="27"/>
    </row>
    <row r="20" spans="1:10">
      <c r="A20" s="9"/>
      <c r="B20" s="13" t="s">
        <v>1166</v>
      </c>
      <c r="C20" s="35"/>
      <c r="D20" s="35"/>
      <c r="E20" s="35"/>
      <c r="F20" s="35"/>
      <c r="G20" s="35"/>
      <c r="H20" s="35"/>
      <c r="I20" s="35"/>
    </row>
    <row r="21" spans="1:10">
      <c r="B21" s="19" t="s">
        <v>47</v>
      </c>
      <c r="C21" s="24" t="s">
        <v>48</v>
      </c>
      <c r="D21" s="24" t="s">
        <v>49</v>
      </c>
      <c r="E21" s="24" t="s">
        <v>28</v>
      </c>
      <c r="F21" s="24" t="s">
        <v>50</v>
      </c>
      <c r="G21" s="24" t="s">
        <v>29</v>
      </c>
      <c r="H21" s="24" t="s">
        <v>122</v>
      </c>
      <c r="I21" s="24" t="s">
        <v>123</v>
      </c>
    </row>
    <row r="22" spans="1:10">
      <c r="B22" t="s">
        <v>1167</v>
      </c>
      <c r="C22" s="46"/>
      <c r="D22" s="52" t="s">
        <v>1168</v>
      </c>
      <c r="E22" s="27"/>
      <c r="G22" s="27"/>
      <c r="H22" s="27"/>
    </row>
    <row r="23" spans="1:10">
      <c r="B23" s="20" t="s">
        <v>160</v>
      </c>
      <c r="C23" s="98">
        <v>11.67</v>
      </c>
      <c r="D23" s="52" t="s">
        <v>1168</v>
      </c>
      <c r="E23" s="21" t="s">
        <v>1153</v>
      </c>
      <c r="F23" s="21">
        <v>2018</v>
      </c>
      <c r="G23" s="60" t="s">
        <v>1158</v>
      </c>
      <c r="H23" s="27">
        <v>16</v>
      </c>
    </row>
    <row r="24" spans="1:10">
      <c r="B24" t="s">
        <v>1169</v>
      </c>
      <c r="C24" s="21">
        <v>7.3</v>
      </c>
      <c r="D24" s="52" t="s">
        <v>1168</v>
      </c>
      <c r="E24" s="21" t="s">
        <v>1153</v>
      </c>
      <c r="F24" s="21">
        <v>2018</v>
      </c>
      <c r="G24" s="60" t="s">
        <v>1158</v>
      </c>
      <c r="H24" s="27">
        <v>19</v>
      </c>
      <c r="J24" s="16"/>
    </row>
    <row r="25" spans="1:10">
      <c r="B25" t="s">
        <v>1170</v>
      </c>
      <c r="C25" s="21">
        <v>11.32</v>
      </c>
      <c r="D25" s="52" t="s">
        <v>1168</v>
      </c>
      <c r="E25" s="21" t="s">
        <v>1153</v>
      </c>
      <c r="F25" s="21">
        <v>2018</v>
      </c>
      <c r="G25" s="60" t="s">
        <v>1158</v>
      </c>
      <c r="H25" s="27">
        <v>19</v>
      </c>
      <c r="J25" s="16"/>
    </row>
    <row r="26" spans="1:10">
      <c r="B26" t="s">
        <v>1171</v>
      </c>
      <c r="C26" s="21">
        <v>15.3</v>
      </c>
      <c r="D26" s="52" t="s">
        <v>1168</v>
      </c>
      <c r="E26" s="21" t="s">
        <v>1153</v>
      </c>
      <c r="F26" s="21">
        <v>2018</v>
      </c>
      <c r="G26" s="60" t="s">
        <v>1158</v>
      </c>
      <c r="H26" s="27">
        <v>19</v>
      </c>
    </row>
    <row r="27" spans="1:10">
      <c r="B27" t="s">
        <v>1172</v>
      </c>
      <c r="C27" s="21">
        <v>23.6</v>
      </c>
      <c r="D27" s="52" t="s">
        <v>1168</v>
      </c>
      <c r="E27" s="21" t="s">
        <v>1153</v>
      </c>
      <c r="F27" s="21">
        <v>2018</v>
      </c>
      <c r="G27" s="60" t="s">
        <v>1158</v>
      </c>
      <c r="H27" s="27">
        <v>19</v>
      </c>
    </row>
    <row r="28" spans="1:10">
      <c r="B28" t="s">
        <v>32</v>
      </c>
      <c r="C28" s="38" t="s">
        <v>42</v>
      </c>
      <c r="D28" s="52" t="s">
        <v>1168</v>
      </c>
    </row>
    <row r="29" spans="1:10">
      <c r="C29" s="47"/>
    </row>
    <row r="30" spans="1:10">
      <c r="A30" s="9"/>
      <c r="B30" s="13" t="s">
        <v>170</v>
      </c>
      <c r="C30" s="35"/>
      <c r="D30" s="35"/>
      <c r="E30" s="35"/>
      <c r="F30" s="35"/>
      <c r="G30" s="35"/>
      <c r="H30" s="35"/>
      <c r="I30" s="35"/>
    </row>
    <row r="31" spans="1:10">
      <c r="B31" s="19" t="s">
        <v>47</v>
      </c>
      <c r="C31" s="24" t="s">
        <v>48</v>
      </c>
      <c r="D31" s="24" t="s">
        <v>49</v>
      </c>
      <c r="E31" s="24" t="s">
        <v>28</v>
      </c>
      <c r="F31" s="24" t="s">
        <v>50</v>
      </c>
      <c r="G31" s="24" t="s">
        <v>29</v>
      </c>
      <c r="H31" s="24" t="s">
        <v>122</v>
      </c>
      <c r="I31" s="24" t="s">
        <v>123</v>
      </c>
    </row>
    <row r="32" spans="1:10">
      <c r="B32" t="s">
        <v>171</v>
      </c>
      <c r="C32" s="49">
        <f>SUM(C33:C38)</f>
        <v>8.6908000000000012</v>
      </c>
      <c r="D32" s="21" t="s">
        <v>38</v>
      </c>
      <c r="E32" s="27"/>
      <c r="F32" s="27"/>
      <c r="G32" s="27"/>
      <c r="H32" s="27"/>
    </row>
    <row r="33" spans="2:9">
      <c r="B33" s="20" t="s">
        <v>1173</v>
      </c>
      <c r="C33" s="46">
        <v>4.2576000000000001</v>
      </c>
      <c r="D33" s="21" t="s">
        <v>38</v>
      </c>
      <c r="E33" s="21" t="s">
        <v>1153</v>
      </c>
      <c r="F33" s="21">
        <v>2021</v>
      </c>
      <c r="G33" s="15" t="s">
        <v>1154</v>
      </c>
      <c r="H33" s="21">
        <v>12</v>
      </c>
    </row>
    <row r="34" spans="2:9">
      <c r="B34" s="20" t="s">
        <v>1174</v>
      </c>
      <c r="C34" s="46">
        <v>2.6179000000000001</v>
      </c>
      <c r="D34" s="21" t="s">
        <v>38</v>
      </c>
      <c r="E34" s="21" t="s">
        <v>1153</v>
      </c>
      <c r="F34" s="21">
        <v>2021</v>
      </c>
      <c r="G34" s="15" t="s">
        <v>1154</v>
      </c>
      <c r="H34" s="21">
        <v>12</v>
      </c>
    </row>
    <row r="35" spans="2:9">
      <c r="B35" s="20" t="s">
        <v>1175</v>
      </c>
      <c r="C35" s="46">
        <v>1.1065</v>
      </c>
      <c r="D35" s="21" t="s">
        <v>38</v>
      </c>
      <c r="E35" s="21" t="s">
        <v>1153</v>
      </c>
      <c r="F35" s="21">
        <v>2021</v>
      </c>
      <c r="G35" s="15" t="s">
        <v>1154</v>
      </c>
      <c r="H35" s="21">
        <v>12</v>
      </c>
    </row>
    <row r="36" spans="2:9">
      <c r="B36" s="20" t="s">
        <v>1036</v>
      </c>
      <c r="C36" s="46">
        <v>0.61350000000000005</v>
      </c>
      <c r="D36" s="21" t="s">
        <v>38</v>
      </c>
      <c r="E36" s="21" t="s">
        <v>1153</v>
      </c>
      <c r="F36" s="21">
        <v>2021</v>
      </c>
      <c r="G36" s="15" t="s">
        <v>1154</v>
      </c>
      <c r="H36" s="21">
        <v>12</v>
      </c>
    </row>
    <row r="37" spans="2:9">
      <c r="B37" s="20" t="s">
        <v>108</v>
      </c>
      <c r="C37" s="185">
        <v>2.9999999999999997E-4</v>
      </c>
      <c r="D37" s="21" t="s">
        <v>38</v>
      </c>
      <c r="E37" s="21" t="s">
        <v>1153</v>
      </c>
      <c r="F37" s="21">
        <v>2021</v>
      </c>
      <c r="G37" s="15" t="s">
        <v>1154</v>
      </c>
      <c r="H37" s="21">
        <v>12</v>
      </c>
    </row>
    <row r="38" spans="2:9" ht="15" customHeight="1">
      <c r="B38" s="20" t="s">
        <v>32</v>
      </c>
      <c r="C38" s="185">
        <v>9.5000000000000001E-2</v>
      </c>
      <c r="D38" s="21" t="s">
        <v>38</v>
      </c>
      <c r="E38" s="21" t="s">
        <v>1153</v>
      </c>
      <c r="F38" s="21">
        <v>2021</v>
      </c>
      <c r="G38" s="15" t="s">
        <v>1154</v>
      </c>
      <c r="H38" s="21">
        <v>12</v>
      </c>
    </row>
    <row r="39" spans="2:9">
      <c r="B39" t="s">
        <v>171</v>
      </c>
    </row>
    <row r="40" spans="2:9">
      <c r="B40" s="20" t="s">
        <v>1173</v>
      </c>
      <c r="C40" s="45">
        <f t="shared" ref="C40:C44" si="0">C33/$C$32</f>
        <v>0.4898973627284024</v>
      </c>
      <c r="D40" s="21" t="s">
        <v>33</v>
      </c>
      <c r="E40" s="27"/>
      <c r="F40" s="27"/>
      <c r="G40" s="27"/>
      <c r="H40" s="27"/>
    </row>
    <row r="41" spans="2:9">
      <c r="B41" s="20" t="s">
        <v>1174</v>
      </c>
      <c r="C41" s="45">
        <f t="shared" si="0"/>
        <v>0.30122658443411421</v>
      </c>
      <c r="D41" s="21" t="s">
        <v>33</v>
      </c>
      <c r="F41" s="27"/>
      <c r="G41" s="27"/>
      <c r="H41" s="27"/>
    </row>
    <row r="42" spans="2:9">
      <c r="B42" s="20" t="s">
        <v>1175</v>
      </c>
      <c r="C42" s="45">
        <f t="shared" si="0"/>
        <v>0.12731854374741106</v>
      </c>
      <c r="D42" s="21" t="s">
        <v>33</v>
      </c>
      <c r="E42" s="27"/>
      <c r="F42" s="27"/>
      <c r="G42" s="27"/>
      <c r="H42" s="27"/>
    </row>
    <row r="43" spans="2:9">
      <c r="B43" s="20" t="s">
        <v>1036</v>
      </c>
      <c r="C43" s="45">
        <f t="shared" si="0"/>
        <v>7.059189027477332E-2</v>
      </c>
      <c r="D43" s="21" t="s">
        <v>33</v>
      </c>
      <c r="E43" s="27"/>
      <c r="F43" s="27"/>
      <c r="G43" s="27"/>
      <c r="H43" s="27"/>
    </row>
    <row r="44" spans="2:9">
      <c r="B44" s="20" t="s">
        <v>108</v>
      </c>
      <c r="C44" s="178">
        <f t="shared" si="0"/>
        <v>3.4519261748055406E-5</v>
      </c>
      <c r="D44" s="21" t="s">
        <v>33</v>
      </c>
      <c r="E44" s="27"/>
      <c r="F44" s="27"/>
      <c r="G44" s="27"/>
      <c r="H44" s="27"/>
    </row>
    <row r="45" spans="2:9" ht="15" customHeight="1">
      <c r="B45" s="20" t="s">
        <v>32</v>
      </c>
      <c r="C45" s="123">
        <f t="shared" ref="C45" si="1">C38/$C$32</f>
        <v>1.093109955355088E-2</v>
      </c>
      <c r="D45" s="21" t="s">
        <v>33</v>
      </c>
      <c r="E45" s="27"/>
      <c r="F45" s="27"/>
      <c r="G45" s="27"/>
      <c r="H45" s="27"/>
    </row>
    <row r="46" spans="2:9">
      <c r="B46" s="20"/>
      <c r="C46" s="48"/>
      <c r="E46" s="27"/>
      <c r="F46" s="27"/>
      <c r="G46" s="27"/>
      <c r="H46" s="27"/>
    </row>
    <row r="47" spans="2:9">
      <c r="B47" t="s">
        <v>176</v>
      </c>
      <c r="C47" s="95">
        <f>SUMPRODUCT(C40:C44,C48:C52)</f>
        <v>76.262472959911605</v>
      </c>
      <c r="D47" s="21" t="s">
        <v>177</v>
      </c>
      <c r="E47" s="27"/>
      <c r="F47" s="27"/>
      <c r="G47" s="60" t="s">
        <v>1176</v>
      </c>
      <c r="H47" s="27"/>
      <c r="I47" s="21" t="s">
        <v>1177</v>
      </c>
    </row>
    <row r="48" spans="2:9">
      <c r="B48" s="20" t="s">
        <v>1173</v>
      </c>
      <c r="C48" s="40">
        <v>80</v>
      </c>
      <c r="D48" s="21" t="s">
        <v>177</v>
      </c>
      <c r="E48" s="21" t="s">
        <v>1176</v>
      </c>
      <c r="G48" s="60" t="s">
        <v>1176</v>
      </c>
      <c r="I48" s="21" t="s">
        <v>1177</v>
      </c>
    </row>
    <row r="49" spans="2:9">
      <c r="B49" s="20" t="s">
        <v>1174</v>
      </c>
      <c r="C49" s="40">
        <v>78</v>
      </c>
      <c r="D49" s="21" t="s">
        <v>177</v>
      </c>
      <c r="E49" s="21" t="s">
        <v>1176</v>
      </c>
      <c r="G49" s="60" t="s">
        <v>1176</v>
      </c>
      <c r="I49" s="21" t="s">
        <v>1177</v>
      </c>
    </row>
    <row r="50" spans="2:9">
      <c r="B50" s="20" t="s">
        <v>1175</v>
      </c>
      <c r="C50" s="40">
        <v>75</v>
      </c>
      <c r="D50" s="21" t="s">
        <v>177</v>
      </c>
      <c r="E50" s="21" t="s">
        <v>1176</v>
      </c>
      <c r="G50" s="60" t="s">
        <v>1176</v>
      </c>
      <c r="I50" s="21" t="s">
        <v>1177</v>
      </c>
    </row>
    <row r="51" spans="2:9">
      <c r="B51" s="20" t="s">
        <v>1036</v>
      </c>
      <c r="C51" s="40">
        <v>57</v>
      </c>
      <c r="D51" s="21" t="s">
        <v>177</v>
      </c>
      <c r="E51" s="21" t="s">
        <v>1176</v>
      </c>
      <c r="G51" s="60" t="s">
        <v>1176</v>
      </c>
      <c r="I51" s="21" t="s">
        <v>1177</v>
      </c>
    </row>
    <row r="52" spans="2:9">
      <c r="B52" s="20" t="s">
        <v>108</v>
      </c>
      <c r="C52" s="21">
        <v>69</v>
      </c>
      <c r="D52" s="21" t="s">
        <v>177</v>
      </c>
      <c r="E52" s="21" t="s">
        <v>1176</v>
      </c>
      <c r="F52" s="27"/>
      <c r="G52" s="60" t="s">
        <v>1176</v>
      </c>
      <c r="H52" s="27"/>
      <c r="I52" s="21" t="s">
        <v>1177</v>
      </c>
    </row>
    <row r="53" spans="2:9">
      <c r="B53" s="20"/>
      <c r="F53" s="27"/>
      <c r="G53" s="60"/>
      <c r="H53" s="27"/>
    </row>
    <row r="54" spans="2:9">
      <c r="B54" s="194" t="s">
        <v>781</v>
      </c>
      <c r="F54" s="27"/>
      <c r="G54" s="60"/>
      <c r="H54" s="27"/>
    </row>
    <row r="55" spans="2:9">
      <c r="B55" s="20" t="s">
        <v>1178</v>
      </c>
      <c r="C55" s="44">
        <v>0.95</v>
      </c>
      <c r="E55" s="21" t="s">
        <v>1179</v>
      </c>
      <c r="F55" s="21">
        <v>2021</v>
      </c>
      <c r="G55" s="60" t="s">
        <v>1180</v>
      </c>
      <c r="H55" s="27" t="s">
        <v>1181</v>
      </c>
    </row>
    <row r="56" spans="2:9">
      <c r="B56" s="20" t="s">
        <v>1182</v>
      </c>
      <c r="C56" s="44">
        <v>0.05</v>
      </c>
      <c r="E56" s="21" t="s">
        <v>1179</v>
      </c>
      <c r="F56" s="21">
        <v>2021</v>
      </c>
      <c r="G56" s="60" t="s">
        <v>1180</v>
      </c>
      <c r="H56" s="27" t="s">
        <v>1181</v>
      </c>
    </row>
    <row r="57" spans="2:9">
      <c r="B57" s="20"/>
    </row>
    <row r="59" spans="2:9">
      <c r="B59" s="13" t="s">
        <v>196</v>
      </c>
      <c r="C59" s="35"/>
      <c r="D59" s="35"/>
      <c r="E59" s="35"/>
      <c r="F59" s="35"/>
      <c r="G59" s="35"/>
      <c r="H59" s="35"/>
      <c r="I59" s="35"/>
    </row>
    <row r="60" spans="2:9">
      <c r="B60" s="19" t="s">
        <v>47</v>
      </c>
      <c r="C60" s="24" t="s">
        <v>48</v>
      </c>
      <c r="D60" s="24" t="s">
        <v>49</v>
      </c>
      <c r="E60" s="24" t="s">
        <v>28</v>
      </c>
      <c r="F60" s="24" t="s">
        <v>50</v>
      </c>
      <c r="G60" s="24" t="s">
        <v>29</v>
      </c>
      <c r="H60" s="24" t="s">
        <v>122</v>
      </c>
      <c r="I60" s="24" t="s">
        <v>123</v>
      </c>
    </row>
    <row r="62" spans="2:9">
      <c r="B62" t="s">
        <v>1183</v>
      </c>
      <c r="C62" s="124">
        <f>C18</f>
        <v>58988</v>
      </c>
      <c r="D62" s="21" t="s">
        <v>1161</v>
      </c>
      <c r="E62" s="21" t="s">
        <v>1162</v>
      </c>
      <c r="F62" s="21">
        <v>2021</v>
      </c>
      <c r="G62" s="51" t="s">
        <v>1163</v>
      </c>
      <c r="H62" s="21" t="s">
        <v>1184</v>
      </c>
    </row>
    <row r="63" spans="2:9">
      <c r="B63" t="s">
        <v>1185</v>
      </c>
      <c r="C63" s="129">
        <v>114787</v>
      </c>
      <c r="D63" s="21" t="s">
        <v>1161</v>
      </c>
      <c r="E63" s="21" t="s">
        <v>260</v>
      </c>
      <c r="F63" s="21">
        <v>2021</v>
      </c>
      <c r="G63" s="60" t="s">
        <v>1186</v>
      </c>
      <c r="H63" s="27" t="s">
        <v>1187</v>
      </c>
      <c r="I63" s="21" t="s">
        <v>1188</v>
      </c>
    </row>
    <row r="64" spans="2:9">
      <c r="B64" t="s">
        <v>1189</v>
      </c>
      <c r="C64" s="124">
        <v>94245</v>
      </c>
      <c r="D64" s="21" t="s">
        <v>1161</v>
      </c>
      <c r="E64" s="21" t="s">
        <v>260</v>
      </c>
      <c r="F64" s="21">
        <v>2021</v>
      </c>
      <c r="G64" s="60" t="s">
        <v>1186</v>
      </c>
      <c r="H64" s="27" t="s">
        <v>1187</v>
      </c>
      <c r="I64" s="21" t="s">
        <v>1190</v>
      </c>
    </row>
  </sheetData>
  <phoneticPr fontId="16" type="noConversion"/>
  <hyperlinks>
    <hyperlink ref="G11" r:id="rId1" xr:uid="{64D79667-A9BB-4865-8503-AD96F3153DFB}"/>
    <hyperlink ref="G18" r:id="rId2" location=":~:text=UNCTAD%20projects%20global%20maritime%20trade,during%20the%20past%20three%20decades." xr:uid="{AC48C159-C491-47C5-A694-136AA9DFF6AE}"/>
    <hyperlink ref="G23" r:id="rId3" xr:uid="{4C43252E-E065-4297-A121-C37C3942A4B4}"/>
    <hyperlink ref="G24" r:id="rId4" xr:uid="{181B0CF9-0033-4FED-9174-B386DB009F19}"/>
    <hyperlink ref="G25" r:id="rId5" xr:uid="{802EDA30-F30F-4086-AA17-191901057FF0}"/>
    <hyperlink ref="G26" r:id="rId6" xr:uid="{8AF2D0FC-DD8B-4587-A122-07C445DF27D0}"/>
    <hyperlink ref="G27" r:id="rId7" xr:uid="{4AEC1FBE-464E-4644-8D6D-A230D35890D0}"/>
    <hyperlink ref="G47" r:id="rId8" xr:uid="{CEEAD536-41B9-4E25-92EB-651B570D5EAA}"/>
    <hyperlink ref="G48:G52" r:id="rId9" display="EU MRV" xr:uid="{B57CDB3A-C51C-4805-BEB7-9109364D6B0B}"/>
    <hyperlink ref="G62" r:id="rId10" location=":~:text=UNCTAD%20projects%20global%20maritime%20trade,during%20the%20past%20three%20decades." xr:uid="{62BEB337-907B-4E23-9507-A555F488B123}"/>
    <hyperlink ref="G63" r:id="rId11" xr:uid="{4D754DE1-CC88-460D-AF2C-09214E94D161}"/>
    <hyperlink ref="G64" r:id="rId12" xr:uid="{5175E5C9-792E-41B3-B41D-C5AF75F36433}"/>
    <hyperlink ref="G33" r:id="rId13" xr:uid="{AA417A4D-EE73-4D18-8CCB-A6F578C70033}"/>
    <hyperlink ref="G34" r:id="rId14" xr:uid="{3AE38478-9786-48FD-BD03-3316A6ACEF05}"/>
    <hyperlink ref="G35" r:id="rId15" xr:uid="{3AC8B31C-E219-4328-8E05-6E5D41072255}"/>
    <hyperlink ref="G36" r:id="rId16" xr:uid="{9433109D-EF4B-431B-BA2B-6D3B5D6F721B}"/>
    <hyperlink ref="G37" r:id="rId17" xr:uid="{CD077BEA-7555-40B7-A626-9FB01E0C7613}"/>
    <hyperlink ref="G38" r:id="rId18" xr:uid="{8B5DC9F0-1A8A-4A38-9B31-615BC148DC7A}"/>
    <hyperlink ref="G10" r:id="rId19" xr:uid="{A00F6149-ED71-4A34-861A-EB1B4F45C027}"/>
  </hyperlinks>
  <pageMargins left="0.7" right="0.7" top="0.75" bottom="0.75" header="0.3" footer="0.3"/>
  <pageSetup orientation="portrait" r:id="rId2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C5C2-4717-447E-A142-EC22334A986B}">
  <sheetPr codeName="Sheet19">
    <tabColor rgb="FFFFC000"/>
  </sheetPr>
  <dimension ref="A1:J129"/>
  <sheetViews>
    <sheetView showGridLines="0" topLeftCell="A98" zoomScale="70" zoomScaleNormal="70" workbookViewId="0">
      <selection activeCell="A122" sqref="A122:XFD127"/>
    </sheetView>
  </sheetViews>
  <sheetFormatPr baseColWidth="10" defaultColWidth="8.83203125" defaultRowHeight="15"/>
  <cols>
    <col min="2" max="2" width="46.5" style="21" customWidth="1"/>
    <col min="3" max="3" width="13.83203125" style="21" customWidth="1"/>
    <col min="4" max="4" width="17.5" style="21" customWidth="1"/>
    <col min="5" max="5" width="14.83203125" style="21" customWidth="1"/>
    <col min="6" max="6" width="11.5" style="21" customWidth="1"/>
    <col min="7" max="7" width="51.1640625" style="21" customWidth="1"/>
    <col min="8" max="9" width="22.5" style="21" customWidth="1"/>
  </cols>
  <sheetData>
    <row r="1" spans="1:9" s="1" customFormat="1">
      <c r="B1" s="2"/>
      <c r="C1" s="2"/>
      <c r="D1" s="2"/>
      <c r="E1" s="2"/>
      <c r="F1" s="2"/>
      <c r="G1" s="2"/>
      <c r="H1" s="2"/>
      <c r="I1" s="2"/>
    </row>
    <row r="2" spans="1:9" s="1" customFormat="1" ht="15" customHeight="1">
      <c r="B2" s="19" t="s">
        <v>371</v>
      </c>
      <c r="C2" s="43"/>
      <c r="D2" s="43"/>
      <c r="E2" s="2"/>
      <c r="F2" s="2"/>
      <c r="G2" s="2"/>
      <c r="H2" s="2"/>
      <c r="I2" s="2"/>
    </row>
    <row r="3" spans="1:9" s="1" customFormat="1" ht="15" customHeight="1">
      <c r="B3" s="19" t="s">
        <v>1475</v>
      </c>
      <c r="C3" s="43"/>
      <c r="D3" s="2"/>
      <c r="E3" s="2"/>
      <c r="F3" s="2"/>
      <c r="G3" s="2"/>
      <c r="H3" s="2"/>
      <c r="I3" s="2"/>
    </row>
    <row r="4" spans="1:9" s="4" customFormat="1" ht="15" customHeight="1" thickBot="1">
      <c r="B4" s="5"/>
      <c r="C4" s="5"/>
      <c r="D4" s="5"/>
      <c r="E4" s="5"/>
      <c r="F4" s="5"/>
      <c r="G4" s="5"/>
      <c r="H4" s="5"/>
      <c r="I4" s="5"/>
    </row>
    <row r="6" spans="1:9" ht="14.25" customHeight="1">
      <c r="B6" s="38"/>
    </row>
    <row r="7" spans="1:9">
      <c r="A7" s="9">
        <v>1</v>
      </c>
      <c r="B7" s="53" t="s">
        <v>71</v>
      </c>
      <c r="C7" s="35"/>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c r="I10" s="21" t="s">
        <v>208</v>
      </c>
    </row>
    <row r="11" spans="1:9">
      <c r="B11" s="20" t="s">
        <v>1036</v>
      </c>
      <c r="C11" s="93" t="s">
        <v>1191</v>
      </c>
      <c r="D11" s="27" t="s">
        <v>52</v>
      </c>
      <c r="I11" s="21" t="s">
        <v>132</v>
      </c>
    </row>
    <row r="12" spans="1:9">
      <c r="B12" s="20" t="s">
        <v>108</v>
      </c>
      <c r="C12" s="93" t="s">
        <v>1191</v>
      </c>
      <c r="D12" s="27" t="s">
        <v>52</v>
      </c>
      <c r="E12" s="21" t="s">
        <v>1013</v>
      </c>
      <c r="F12" s="21">
        <v>2022</v>
      </c>
      <c r="G12" s="51" t="s">
        <v>1192</v>
      </c>
      <c r="H12" s="21" t="s">
        <v>1193</v>
      </c>
    </row>
    <row r="13" spans="1:9">
      <c r="B13" s="20" t="s">
        <v>10</v>
      </c>
      <c r="C13" s="93" t="s">
        <v>1194</v>
      </c>
      <c r="D13" s="27" t="s">
        <v>52</v>
      </c>
      <c r="E13" s="21" t="s">
        <v>1013</v>
      </c>
      <c r="F13" s="21">
        <v>2022</v>
      </c>
      <c r="G13" s="21" t="s">
        <v>129</v>
      </c>
      <c r="H13" s="21" t="s">
        <v>1193</v>
      </c>
    </row>
    <row r="14" spans="1:9">
      <c r="B14" s="20" t="s">
        <v>75</v>
      </c>
      <c r="C14" s="93" t="s">
        <v>798</v>
      </c>
      <c r="D14" s="27" t="s">
        <v>52</v>
      </c>
      <c r="E14" s="21" t="s">
        <v>1013</v>
      </c>
      <c r="F14" s="21">
        <v>2022</v>
      </c>
      <c r="G14" s="21" t="s">
        <v>129</v>
      </c>
      <c r="H14" s="21" t="s">
        <v>1193</v>
      </c>
    </row>
    <row r="15" spans="1:9">
      <c r="B15" s="20" t="s">
        <v>59</v>
      </c>
      <c r="C15" s="93" t="s">
        <v>1191</v>
      </c>
      <c r="D15" s="27" t="s">
        <v>52</v>
      </c>
      <c r="E15" s="21" t="s">
        <v>1013</v>
      </c>
      <c r="F15" s="21">
        <v>2022</v>
      </c>
      <c r="G15" s="21" t="s">
        <v>129</v>
      </c>
      <c r="H15" s="21" t="s">
        <v>1193</v>
      </c>
    </row>
    <row r="16" spans="1:9">
      <c r="B16" s="20"/>
      <c r="D16" s="27"/>
    </row>
    <row r="17" spans="2:9">
      <c r="B17" s="25" t="s">
        <v>1195</v>
      </c>
      <c r="I17" s="21" t="s">
        <v>1196</v>
      </c>
    </row>
    <row r="18" spans="2:9">
      <c r="B18" s="20" t="s">
        <v>1036</v>
      </c>
      <c r="C18" s="44">
        <v>0.21</v>
      </c>
      <c r="D18" s="21" t="s">
        <v>33</v>
      </c>
      <c r="E18" s="21" t="s">
        <v>1197</v>
      </c>
      <c r="F18" s="21">
        <v>2021</v>
      </c>
      <c r="G18" s="51" t="s">
        <v>1198</v>
      </c>
    </row>
    <row r="19" spans="2:9">
      <c r="B19" s="20" t="s">
        <v>108</v>
      </c>
      <c r="C19" s="44">
        <v>0.99</v>
      </c>
      <c r="D19" s="21" t="s">
        <v>33</v>
      </c>
      <c r="E19" s="21" t="s">
        <v>1199</v>
      </c>
      <c r="F19" s="21">
        <v>2021</v>
      </c>
      <c r="G19" s="51" t="s">
        <v>1200</v>
      </c>
      <c r="H19" s="21" t="s">
        <v>1201</v>
      </c>
      <c r="I19" s="21" t="s">
        <v>1202</v>
      </c>
    </row>
    <row r="20" spans="2:9">
      <c r="B20" s="20" t="s">
        <v>10</v>
      </c>
      <c r="C20" s="44">
        <v>0.99</v>
      </c>
      <c r="D20" s="21" t="s">
        <v>33</v>
      </c>
      <c r="E20" s="21" t="s">
        <v>129</v>
      </c>
      <c r="F20" s="21">
        <v>2021</v>
      </c>
      <c r="G20" s="21" t="s">
        <v>129</v>
      </c>
      <c r="H20" s="21" t="s">
        <v>1201</v>
      </c>
      <c r="I20" s="21" t="s">
        <v>1202</v>
      </c>
    </row>
    <row r="21" spans="2:9">
      <c r="B21" s="20" t="s">
        <v>75</v>
      </c>
      <c r="C21" s="44">
        <v>0.99</v>
      </c>
      <c r="D21" s="21" t="s">
        <v>33</v>
      </c>
      <c r="E21" s="21" t="s">
        <v>129</v>
      </c>
      <c r="F21" s="21">
        <v>2021</v>
      </c>
      <c r="G21" s="21" t="s">
        <v>129</v>
      </c>
      <c r="H21" s="21" t="s">
        <v>1201</v>
      </c>
      <c r="I21" s="21" t="s">
        <v>1202</v>
      </c>
    </row>
    <row r="22" spans="2:9">
      <c r="B22" s="20" t="s">
        <v>59</v>
      </c>
      <c r="C22" s="44">
        <v>0.88</v>
      </c>
      <c r="D22" s="21" t="s">
        <v>33</v>
      </c>
      <c r="E22" s="21" t="s">
        <v>129</v>
      </c>
      <c r="F22" s="21">
        <v>2021</v>
      </c>
      <c r="G22" s="21" t="s">
        <v>129</v>
      </c>
      <c r="H22" s="21" t="s">
        <v>1201</v>
      </c>
    </row>
    <row r="23" spans="2:9">
      <c r="B23" s="20"/>
    </row>
    <row r="24" spans="2:9">
      <c r="B24" s="25" t="s">
        <v>1203</v>
      </c>
    </row>
    <row r="25" spans="2:9">
      <c r="B25" s="20" t="s">
        <v>1036</v>
      </c>
      <c r="C25" s="44" t="s">
        <v>1204</v>
      </c>
      <c r="D25" s="21" t="s">
        <v>33</v>
      </c>
      <c r="G25" s="51"/>
    </row>
    <row r="26" spans="2:9">
      <c r="B26" s="20" t="s">
        <v>108</v>
      </c>
      <c r="C26" s="44" t="s">
        <v>1205</v>
      </c>
      <c r="D26" s="21" t="s">
        <v>33</v>
      </c>
      <c r="E26" s="21" t="s">
        <v>1199</v>
      </c>
      <c r="F26" s="21">
        <v>2021</v>
      </c>
      <c r="G26" s="51" t="s">
        <v>1200</v>
      </c>
      <c r="H26" s="21" t="s">
        <v>1002</v>
      </c>
    </row>
    <row r="27" spans="2:9">
      <c r="B27" s="20" t="s">
        <v>10</v>
      </c>
      <c r="C27" s="44" t="s">
        <v>1206</v>
      </c>
      <c r="D27" s="21" t="s">
        <v>33</v>
      </c>
      <c r="E27" s="21" t="s">
        <v>129</v>
      </c>
      <c r="F27" s="21">
        <v>2021</v>
      </c>
      <c r="G27" s="21" t="s">
        <v>129</v>
      </c>
      <c r="H27" s="21" t="s">
        <v>1002</v>
      </c>
    </row>
    <row r="28" spans="2:9">
      <c r="B28" s="20" t="s">
        <v>75</v>
      </c>
      <c r="C28" s="44" t="s">
        <v>810</v>
      </c>
      <c r="D28" s="21" t="s">
        <v>33</v>
      </c>
    </row>
    <row r="29" spans="2:9">
      <c r="B29" s="20" t="s">
        <v>59</v>
      </c>
      <c r="C29" s="44" t="s">
        <v>1207</v>
      </c>
      <c r="D29" s="21" t="s">
        <v>33</v>
      </c>
      <c r="E29" s="21" t="s">
        <v>1199</v>
      </c>
      <c r="F29" s="21">
        <v>2021</v>
      </c>
      <c r="G29" s="51" t="s">
        <v>1200</v>
      </c>
      <c r="H29" s="21" t="s">
        <v>1002</v>
      </c>
    </row>
    <row r="30" spans="2:9">
      <c r="B30" s="20"/>
      <c r="C30" s="44"/>
    </row>
    <row r="31" spans="2:9">
      <c r="B31" s="25" t="s">
        <v>1513</v>
      </c>
    </row>
    <row r="32" spans="2:9">
      <c r="B32" s="20" t="s">
        <v>1036</v>
      </c>
      <c r="C32" s="58">
        <v>8.2000000000000007E-3</v>
      </c>
      <c r="E32" s="21" t="s">
        <v>1013</v>
      </c>
      <c r="F32" s="21">
        <v>2022</v>
      </c>
      <c r="G32" s="51" t="s">
        <v>1192</v>
      </c>
      <c r="H32" s="21" t="s">
        <v>1208</v>
      </c>
    </row>
    <row r="33" spans="1:9">
      <c r="B33" s="20" t="s">
        <v>108</v>
      </c>
      <c r="C33" s="59">
        <v>2.0000000000000001E-4</v>
      </c>
      <c r="D33" s="27" t="s">
        <v>52</v>
      </c>
      <c r="E33" s="21" t="s">
        <v>1013</v>
      </c>
      <c r="F33" s="21">
        <v>2022</v>
      </c>
      <c r="G33" s="27" t="s">
        <v>129</v>
      </c>
      <c r="H33" s="21" t="s">
        <v>1208</v>
      </c>
    </row>
    <row r="34" spans="1:9">
      <c r="B34" s="20" t="s">
        <v>10</v>
      </c>
      <c r="C34" s="44">
        <v>0</v>
      </c>
      <c r="D34" s="27" t="s">
        <v>52</v>
      </c>
      <c r="E34" s="27" t="s">
        <v>52</v>
      </c>
      <c r="F34" s="21">
        <v>2022</v>
      </c>
      <c r="G34" s="27" t="s">
        <v>129</v>
      </c>
      <c r="H34" s="21" t="s">
        <v>1208</v>
      </c>
    </row>
    <row r="35" spans="1:9">
      <c r="B35" s="20" t="s">
        <v>75</v>
      </c>
      <c r="C35" s="44">
        <v>0</v>
      </c>
      <c r="D35" s="27"/>
      <c r="E35" s="27"/>
      <c r="F35" s="21">
        <v>2022</v>
      </c>
      <c r="G35" s="27" t="s">
        <v>129</v>
      </c>
      <c r="H35" s="21" t="s">
        <v>1208</v>
      </c>
    </row>
    <row r="36" spans="1:9">
      <c r="B36" s="20" t="s">
        <v>59</v>
      </c>
      <c r="C36" s="44">
        <v>0</v>
      </c>
      <c r="D36" s="27"/>
      <c r="E36" s="27"/>
      <c r="F36" s="21">
        <v>2022</v>
      </c>
      <c r="G36" s="27" t="s">
        <v>129</v>
      </c>
      <c r="H36" s="21" t="s">
        <v>1208</v>
      </c>
    </row>
    <row r="38" spans="1:9">
      <c r="A38" s="9">
        <v>2</v>
      </c>
      <c r="B38" s="53" t="s">
        <v>82</v>
      </c>
      <c r="C38" s="35"/>
      <c r="D38" s="35"/>
      <c r="E38" s="35"/>
      <c r="F38" s="35"/>
      <c r="G38" s="35"/>
      <c r="H38" s="35"/>
      <c r="I38" s="35"/>
    </row>
    <row r="39" spans="1:9">
      <c r="B39" s="24" t="s">
        <v>47</v>
      </c>
      <c r="C39" s="24" t="s">
        <v>48</v>
      </c>
      <c r="D39" s="24" t="s">
        <v>49</v>
      </c>
      <c r="E39" s="24" t="s">
        <v>28</v>
      </c>
      <c r="F39" s="24" t="s">
        <v>50</v>
      </c>
      <c r="G39" s="24" t="s">
        <v>29</v>
      </c>
      <c r="H39" s="24" t="s">
        <v>122</v>
      </c>
      <c r="I39" s="24" t="s">
        <v>123</v>
      </c>
    </row>
    <row r="41" spans="1:9">
      <c r="B41" s="25" t="s">
        <v>1209</v>
      </c>
      <c r="C41" s="21">
        <v>18</v>
      </c>
      <c r="D41" s="21" t="s">
        <v>38</v>
      </c>
      <c r="E41" s="21" t="s">
        <v>1179</v>
      </c>
      <c r="F41" s="21">
        <v>2021</v>
      </c>
      <c r="G41" s="60" t="s">
        <v>1180</v>
      </c>
      <c r="H41" s="27" t="s">
        <v>1181</v>
      </c>
    </row>
    <row r="42" spans="1:9">
      <c r="B42" s="20" t="s">
        <v>1210</v>
      </c>
      <c r="C42" s="235">
        <v>0.05</v>
      </c>
      <c r="D42" s="21" t="s">
        <v>33</v>
      </c>
      <c r="E42" s="27" t="s">
        <v>129</v>
      </c>
      <c r="F42" s="21">
        <v>2021</v>
      </c>
      <c r="G42" s="27" t="s">
        <v>129</v>
      </c>
      <c r="H42" s="27" t="s">
        <v>129</v>
      </c>
    </row>
    <row r="43" spans="1:9">
      <c r="B43" s="20" t="s">
        <v>1036</v>
      </c>
      <c r="C43" s="235"/>
      <c r="D43" s="21" t="s">
        <v>33</v>
      </c>
      <c r="E43" s="27" t="s">
        <v>129</v>
      </c>
      <c r="F43" s="21">
        <v>2021</v>
      </c>
      <c r="G43" s="27" t="s">
        <v>129</v>
      </c>
      <c r="H43" s="27" t="s">
        <v>129</v>
      </c>
    </row>
    <row r="44" spans="1:9">
      <c r="B44" s="20" t="s">
        <v>108</v>
      </c>
      <c r="C44" s="235">
        <v>0.95</v>
      </c>
      <c r="D44" s="21" t="s">
        <v>33</v>
      </c>
      <c r="E44" s="27" t="s">
        <v>129</v>
      </c>
      <c r="F44" s="21">
        <v>2021</v>
      </c>
      <c r="G44" s="27" t="s">
        <v>129</v>
      </c>
      <c r="H44" s="27" t="s">
        <v>129</v>
      </c>
    </row>
    <row r="45" spans="1:9">
      <c r="B45" s="20" t="s">
        <v>10</v>
      </c>
      <c r="C45" s="235"/>
      <c r="D45" s="21" t="s">
        <v>33</v>
      </c>
      <c r="E45" s="27" t="s">
        <v>129</v>
      </c>
      <c r="F45" s="21">
        <v>2021</v>
      </c>
      <c r="G45" s="27" t="s">
        <v>129</v>
      </c>
      <c r="H45" s="27" t="s">
        <v>129</v>
      </c>
    </row>
    <row r="46" spans="1:9">
      <c r="B46" s="20" t="s">
        <v>75</v>
      </c>
      <c r="C46" s="235"/>
      <c r="D46" s="21" t="s">
        <v>33</v>
      </c>
      <c r="E46" s="27" t="s">
        <v>129</v>
      </c>
      <c r="F46" s="21">
        <v>2021</v>
      </c>
      <c r="G46" s="27" t="s">
        <v>129</v>
      </c>
      <c r="H46" s="27" t="s">
        <v>129</v>
      </c>
    </row>
    <row r="47" spans="1:9" ht="15" customHeight="1">
      <c r="B47" s="20" t="s">
        <v>59</v>
      </c>
      <c r="C47" s="235"/>
      <c r="D47" s="21" t="s">
        <v>33</v>
      </c>
      <c r="E47" s="27" t="s">
        <v>129</v>
      </c>
      <c r="F47" s="21">
        <v>2021</v>
      </c>
      <c r="G47" s="27" t="s">
        <v>129</v>
      </c>
      <c r="H47" s="27" t="s">
        <v>129</v>
      </c>
    </row>
    <row r="48" spans="1:9" hidden="1"/>
    <row r="49" spans="2:10" hidden="1">
      <c r="B49" s="25" t="s">
        <v>702</v>
      </c>
    </row>
    <row r="50" spans="2:10" hidden="1">
      <c r="B50" s="40" t="s">
        <v>1211</v>
      </c>
      <c r="C50" s="55">
        <v>1232</v>
      </c>
      <c r="D50" s="21" t="s">
        <v>43</v>
      </c>
      <c r="E50" s="27" t="s">
        <v>52</v>
      </c>
      <c r="F50" s="21">
        <v>2021</v>
      </c>
      <c r="G50" s="60" t="s">
        <v>1186</v>
      </c>
      <c r="H50" s="27" t="s">
        <v>1212</v>
      </c>
      <c r="I50" s="21" t="s">
        <v>1213</v>
      </c>
    </row>
    <row r="51" spans="2:10" hidden="1">
      <c r="B51" s="40" t="s">
        <v>1214</v>
      </c>
      <c r="C51" s="46">
        <v>1.4</v>
      </c>
      <c r="D51" s="40" t="s">
        <v>259</v>
      </c>
      <c r="E51" s="21" t="s">
        <v>260</v>
      </c>
      <c r="F51" s="21">
        <v>2022</v>
      </c>
      <c r="G51" s="51" t="s">
        <v>261</v>
      </c>
      <c r="H51" s="21" t="s">
        <v>262</v>
      </c>
      <c r="I51" s="21" t="s">
        <v>1215</v>
      </c>
    </row>
    <row r="52" spans="2:10" hidden="1">
      <c r="B52" s="29" t="s">
        <v>264</v>
      </c>
      <c r="C52" s="84" t="s">
        <v>52</v>
      </c>
      <c r="D52" s="40" t="s">
        <v>33</v>
      </c>
      <c r="E52" s="21" t="s">
        <v>51</v>
      </c>
      <c r="F52" s="21">
        <v>2022</v>
      </c>
      <c r="G52" s="51" t="s">
        <v>450</v>
      </c>
      <c r="H52" s="21" t="s">
        <v>265</v>
      </c>
    </row>
    <row r="53" spans="2:10" hidden="1">
      <c r="B53" s="20" t="s">
        <v>266</v>
      </c>
      <c r="C53" s="21">
        <v>4.5</v>
      </c>
      <c r="D53" s="21" t="s">
        <v>267</v>
      </c>
      <c r="E53" s="21" t="s">
        <v>268</v>
      </c>
      <c r="F53" s="21">
        <v>2020</v>
      </c>
      <c r="G53" s="51" t="s">
        <v>269</v>
      </c>
      <c r="H53" s="21" t="s">
        <v>270</v>
      </c>
      <c r="I53" s="21" t="s">
        <v>271</v>
      </c>
    </row>
    <row r="54" spans="2:10" hidden="1">
      <c r="B54" s="40" t="s">
        <v>272</v>
      </c>
      <c r="C54" s="95">
        <f>C51*C50</f>
        <v>1724.8</v>
      </c>
      <c r="D54" s="21" t="s">
        <v>273</v>
      </c>
      <c r="E54" s="27"/>
      <c r="G54" s="27"/>
    </row>
    <row r="55" spans="2:10">
      <c r="B55" s="40"/>
      <c r="C55" s="40"/>
      <c r="E55" s="27"/>
      <c r="G55" s="27"/>
    </row>
    <row r="56" spans="2:10">
      <c r="B56" s="25" t="s">
        <v>274</v>
      </c>
    </row>
    <row r="57" spans="2:10">
      <c r="B57" s="40" t="s">
        <v>1216</v>
      </c>
      <c r="C57" s="49">
        <v>160</v>
      </c>
      <c r="D57" s="40" t="s">
        <v>278</v>
      </c>
      <c r="E57" s="27" t="s">
        <v>52</v>
      </c>
      <c r="F57" s="21">
        <v>2023</v>
      </c>
      <c r="G57" s="22" t="s">
        <v>1217</v>
      </c>
      <c r="H57" s="27"/>
      <c r="I57" s="40" t="s">
        <v>1218</v>
      </c>
    </row>
    <row r="58" spans="2:10">
      <c r="B58" s="29" t="s">
        <v>283</v>
      </c>
      <c r="C58" s="21">
        <v>12</v>
      </c>
      <c r="D58" s="21">
        <v>11.5</v>
      </c>
      <c r="E58" s="40" t="s">
        <v>284</v>
      </c>
      <c r="F58" s="21" t="s">
        <v>285</v>
      </c>
      <c r="G58" s="21">
        <v>2021</v>
      </c>
      <c r="H58" s="27" t="s">
        <v>52</v>
      </c>
      <c r="I58" s="27" t="s">
        <v>52</v>
      </c>
      <c r="J58" s="27" t="s">
        <v>286</v>
      </c>
    </row>
    <row r="59" spans="2:10">
      <c r="B59" s="29" t="s">
        <v>287</v>
      </c>
      <c r="C59" s="21">
        <v>4</v>
      </c>
      <c r="D59" s="21">
        <v>6.5</v>
      </c>
      <c r="E59" s="40" t="s">
        <v>284</v>
      </c>
      <c r="F59" s="21" t="s">
        <v>285</v>
      </c>
      <c r="G59" s="21">
        <v>2021</v>
      </c>
      <c r="H59" s="27" t="s">
        <v>52</v>
      </c>
      <c r="I59" s="27" t="s">
        <v>52</v>
      </c>
      <c r="J59" s="27" t="s">
        <v>286</v>
      </c>
    </row>
    <row r="60" spans="2:10" ht="32">
      <c r="B60" s="41" t="s">
        <v>280</v>
      </c>
      <c r="C60" s="98">
        <f>C58*$C$57</f>
        <v>1920</v>
      </c>
      <c r="D60" s="40" t="s">
        <v>53</v>
      </c>
      <c r="F60" s="21">
        <v>2023</v>
      </c>
      <c r="G60" s="27" t="s">
        <v>52</v>
      </c>
      <c r="H60" s="27" t="s">
        <v>52</v>
      </c>
    </row>
    <row r="61" spans="2:10" ht="32">
      <c r="B61" s="41" t="s">
        <v>282</v>
      </c>
      <c r="C61" s="46">
        <f>C59*$C$57</f>
        <v>640</v>
      </c>
      <c r="D61" s="40" t="s">
        <v>53</v>
      </c>
      <c r="F61" s="21">
        <v>2023</v>
      </c>
      <c r="G61" s="27" t="s">
        <v>52</v>
      </c>
      <c r="H61" s="27" t="s">
        <v>52</v>
      </c>
    </row>
    <row r="63" spans="2:10">
      <c r="B63" s="25" t="s">
        <v>288</v>
      </c>
    </row>
    <row r="64" spans="2:10">
      <c r="B64" s="25" t="s">
        <v>1219</v>
      </c>
      <c r="C64" s="55">
        <v>130</v>
      </c>
      <c r="D64" s="40" t="s">
        <v>278</v>
      </c>
      <c r="E64" s="27" t="s">
        <v>52</v>
      </c>
      <c r="F64" s="21">
        <v>2023</v>
      </c>
      <c r="G64" s="22" t="s">
        <v>1217</v>
      </c>
      <c r="H64" s="27"/>
      <c r="I64" s="40" t="s">
        <v>1220</v>
      </c>
    </row>
    <row r="65" spans="1:9">
      <c r="B65" s="20" t="s">
        <v>283</v>
      </c>
      <c r="C65" s="21">
        <v>175</v>
      </c>
      <c r="D65" s="21" t="s">
        <v>297</v>
      </c>
      <c r="E65" s="21" t="s">
        <v>298</v>
      </c>
      <c r="G65" s="21" t="s">
        <v>299</v>
      </c>
      <c r="H65" s="21" t="s">
        <v>300</v>
      </c>
      <c r="I65" s="21" t="s">
        <v>301</v>
      </c>
    </row>
    <row r="66" spans="1:9">
      <c r="B66" s="20" t="s">
        <v>302</v>
      </c>
      <c r="C66" s="21">
        <v>80</v>
      </c>
      <c r="D66" s="21" t="s">
        <v>297</v>
      </c>
      <c r="E66" s="21" t="s">
        <v>298</v>
      </c>
      <c r="G66" s="21" t="s">
        <v>299</v>
      </c>
      <c r="H66" s="21" t="s">
        <v>300</v>
      </c>
      <c r="I66" s="21" t="s">
        <v>303</v>
      </c>
    </row>
    <row r="67" spans="1:9">
      <c r="B67" s="20" t="s">
        <v>1518</v>
      </c>
      <c r="C67" s="95">
        <f>$C$64*C65/1000</f>
        <v>22.75</v>
      </c>
      <c r="D67" s="21" t="s">
        <v>295</v>
      </c>
      <c r="E67" s="27" t="s">
        <v>52</v>
      </c>
      <c r="F67" s="27" t="s">
        <v>52</v>
      </c>
      <c r="G67" s="27" t="s">
        <v>52</v>
      </c>
      <c r="H67" s="27" t="s">
        <v>52</v>
      </c>
    </row>
    <row r="68" spans="1:9">
      <c r="B68" s="20" t="s">
        <v>1519</v>
      </c>
      <c r="C68" s="40">
        <f>$C$64*C66/1000</f>
        <v>10.4</v>
      </c>
      <c r="D68" s="21" t="s">
        <v>295</v>
      </c>
      <c r="E68" s="27" t="s">
        <v>52</v>
      </c>
      <c r="F68" s="27" t="s">
        <v>52</v>
      </c>
      <c r="G68" s="27" t="s">
        <v>52</v>
      </c>
      <c r="H68" s="27" t="s">
        <v>52</v>
      </c>
    </row>
    <row r="69" spans="1:9">
      <c r="B69" s="20"/>
    </row>
    <row r="70" spans="1:9">
      <c r="B70" s="25" t="s">
        <v>1228</v>
      </c>
    </row>
    <row r="71" spans="1:9">
      <c r="B71" s="21" t="s">
        <v>1229</v>
      </c>
      <c r="C71" s="55">
        <v>880</v>
      </c>
      <c r="D71" s="21" t="s">
        <v>44</v>
      </c>
      <c r="F71" s="21">
        <v>2023</v>
      </c>
      <c r="G71" s="191" t="s">
        <v>1217</v>
      </c>
      <c r="H71" s="27"/>
      <c r="I71" s="40" t="s">
        <v>1218</v>
      </c>
    </row>
    <row r="72" spans="1:9">
      <c r="B72" s="21" t="s">
        <v>1230</v>
      </c>
      <c r="C72" s="21">
        <v>200</v>
      </c>
      <c r="D72" s="21" t="s">
        <v>1231</v>
      </c>
      <c r="E72" s="21" t="s">
        <v>1232</v>
      </c>
      <c r="F72" s="21">
        <v>2020</v>
      </c>
      <c r="G72" s="51" t="s">
        <v>1233</v>
      </c>
      <c r="H72" s="21" t="s">
        <v>1234</v>
      </c>
      <c r="I72" s="21" t="s">
        <v>1235</v>
      </c>
    </row>
    <row r="73" spans="1:9">
      <c r="B73" s="21" t="s">
        <v>1236</v>
      </c>
      <c r="C73" s="21">
        <v>150</v>
      </c>
      <c r="D73" s="21" t="s">
        <v>1231</v>
      </c>
      <c r="E73" s="21" t="s">
        <v>1232</v>
      </c>
      <c r="F73" s="21">
        <v>2020</v>
      </c>
      <c r="G73" s="21" t="s">
        <v>1233</v>
      </c>
      <c r="H73" s="21" t="s">
        <v>1234</v>
      </c>
      <c r="I73" s="21" t="s">
        <v>1237</v>
      </c>
    </row>
    <row r="74" spans="1:9">
      <c r="B74" s="21" t="s">
        <v>1520</v>
      </c>
      <c r="C74" s="95">
        <f>(C72*$C$71)/POWER(10,3)</f>
        <v>176</v>
      </c>
      <c r="D74" s="21" t="s">
        <v>53</v>
      </c>
    </row>
    <row r="75" spans="1:9">
      <c r="B75" s="21" t="s">
        <v>1521</v>
      </c>
      <c r="C75" s="40">
        <f>(C73*$C$71)/POWER(10,3)</f>
        <v>132</v>
      </c>
      <c r="D75" s="21" t="s">
        <v>53</v>
      </c>
    </row>
    <row r="77" spans="1:9">
      <c r="A77" s="9">
        <v>3</v>
      </c>
      <c r="B77" s="53" t="s">
        <v>62</v>
      </c>
      <c r="C77" s="35"/>
      <c r="D77" s="35"/>
      <c r="E77" s="35"/>
      <c r="F77" s="35"/>
      <c r="G77" s="35"/>
      <c r="H77" s="35"/>
      <c r="I77" s="35"/>
    </row>
    <row r="78" spans="1:9">
      <c r="B78" s="24" t="s">
        <v>47</v>
      </c>
      <c r="C78" s="24" t="s">
        <v>48</v>
      </c>
      <c r="D78" s="24" t="s">
        <v>49</v>
      </c>
      <c r="E78" s="24" t="s">
        <v>28</v>
      </c>
      <c r="F78" s="24" t="s">
        <v>50</v>
      </c>
      <c r="G78" s="24" t="s">
        <v>29</v>
      </c>
      <c r="H78" s="24" t="s">
        <v>122</v>
      </c>
      <c r="I78" s="24" t="s">
        <v>123</v>
      </c>
    </row>
    <row r="80" spans="1:9">
      <c r="B80" s="21" t="s">
        <v>304</v>
      </c>
      <c r="C80" s="21" t="s">
        <v>237</v>
      </c>
      <c r="D80" s="21" t="s">
        <v>33</v>
      </c>
      <c r="E80" s="21" t="s">
        <v>1013</v>
      </c>
      <c r="F80" s="21">
        <v>2022</v>
      </c>
      <c r="G80" s="21" t="s">
        <v>1238</v>
      </c>
      <c r="H80" s="27" t="s">
        <v>52</v>
      </c>
    </row>
    <row r="81" spans="2:9">
      <c r="B81" s="21" t="s">
        <v>1239</v>
      </c>
      <c r="C81" s="44">
        <v>0.3</v>
      </c>
      <c r="D81" s="21" t="s">
        <v>33</v>
      </c>
      <c r="G81" s="21" t="s">
        <v>1238</v>
      </c>
      <c r="H81" s="27"/>
      <c r="I81" s="21" t="s">
        <v>1240</v>
      </c>
    </row>
    <row r="82" spans="2:9">
      <c r="B82" s="21" t="s">
        <v>1241</v>
      </c>
      <c r="C82" s="44">
        <v>0.7</v>
      </c>
      <c r="D82" s="21" t="s">
        <v>33</v>
      </c>
      <c r="H82" s="27"/>
    </row>
    <row r="83" spans="2:9">
      <c r="B83" s="21" t="s">
        <v>1242</v>
      </c>
      <c r="C83" s="96">
        <f>C81</f>
        <v>0.3</v>
      </c>
      <c r="D83" s="21" t="s">
        <v>33</v>
      </c>
      <c r="G83" s="51"/>
    </row>
    <row r="84" spans="2:9">
      <c r="B84" s="21" t="s">
        <v>1243</v>
      </c>
      <c r="C84" s="96">
        <f>C82</f>
        <v>0.7</v>
      </c>
      <c r="D84" s="21" t="s">
        <v>33</v>
      </c>
    </row>
    <row r="86" spans="2:9">
      <c r="B86" s="21" t="s">
        <v>1244</v>
      </c>
      <c r="C86" s="47">
        <v>2.9000000000000001E-2</v>
      </c>
      <c r="D86" s="21" t="s">
        <v>1245</v>
      </c>
      <c r="E86" s="60" t="s">
        <v>52</v>
      </c>
      <c r="F86" s="21">
        <v>2022</v>
      </c>
      <c r="G86" s="61" t="s">
        <v>1246</v>
      </c>
      <c r="H86" s="62"/>
      <c r="I86" s="21" t="s">
        <v>1247</v>
      </c>
    </row>
    <row r="87" spans="2:9">
      <c r="B87" s="21" t="s">
        <v>1248</v>
      </c>
      <c r="C87" s="21">
        <v>58988</v>
      </c>
      <c r="D87" s="21" t="s">
        <v>1249</v>
      </c>
      <c r="E87" s="60"/>
      <c r="G87" s="61"/>
      <c r="I87" s="21" t="s">
        <v>315</v>
      </c>
    </row>
    <row r="88" spans="2:9">
      <c r="B88" s="21" t="s">
        <v>1250</v>
      </c>
      <c r="C88" s="49">
        <f>C86*C87*POWER(10,-3)</f>
        <v>1.7106520000000001</v>
      </c>
      <c r="D88" s="21" t="s">
        <v>1251</v>
      </c>
      <c r="E88" s="27" t="s">
        <v>52</v>
      </c>
      <c r="F88" s="27" t="s">
        <v>52</v>
      </c>
      <c r="G88" s="27" t="s">
        <v>52</v>
      </c>
      <c r="H88" s="27" t="s">
        <v>52</v>
      </c>
    </row>
    <row r="89" spans="2:9">
      <c r="B89" s="21" t="s">
        <v>1252</v>
      </c>
      <c r="C89" s="55">
        <f>C88*C83*POWER(10,3)</f>
        <v>513.19560000000001</v>
      </c>
      <c r="D89" s="21" t="s">
        <v>317</v>
      </c>
      <c r="E89" s="27" t="s">
        <v>52</v>
      </c>
      <c r="F89" s="27" t="s">
        <v>52</v>
      </c>
      <c r="G89" s="27" t="s">
        <v>52</v>
      </c>
      <c r="H89" s="27" t="s">
        <v>52</v>
      </c>
    </row>
    <row r="90" spans="2:9">
      <c r="B90" s="21" t="s">
        <v>1253</v>
      </c>
      <c r="C90" s="55">
        <f>C88*C84*POWER(10,3)</f>
        <v>1197.4563999999998</v>
      </c>
      <c r="D90" s="21" t="s">
        <v>317</v>
      </c>
      <c r="E90" s="27" t="s">
        <v>52</v>
      </c>
      <c r="F90" s="27" t="s">
        <v>52</v>
      </c>
      <c r="G90" s="27" t="s">
        <v>52</v>
      </c>
      <c r="H90" s="27" t="s">
        <v>52</v>
      </c>
    </row>
    <row r="92" spans="2:9">
      <c r="B92" s="21" t="s">
        <v>1254</v>
      </c>
      <c r="C92" s="44">
        <v>0.03</v>
      </c>
      <c r="E92" s="21" t="s">
        <v>1232</v>
      </c>
      <c r="F92" s="21">
        <v>2019</v>
      </c>
      <c r="G92" s="51" t="s">
        <v>1233</v>
      </c>
      <c r="H92" s="21" t="s">
        <v>1255</v>
      </c>
    </row>
    <row r="93" spans="2:9">
      <c r="B93" s="21" t="s">
        <v>1256</v>
      </c>
      <c r="C93" s="44">
        <f>C92*C83</f>
        <v>8.9999999999999993E-3</v>
      </c>
      <c r="G93" s="51"/>
    </row>
    <row r="94" spans="2:9">
      <c r="B94" s="21" t="s">
        <v>1257</v>
      </c>
      <c r="C94" s="96">
        <f>C92*C84</f>
        <v>2.0999999999999998E-2</v>
      </c>
      <c r="D94" s="21" t="s">
        <v>551</v>
      </c>
      <c r="E94" s="21" t="s">
        <v>1232</v>
      </c>
      <c r="F94" s="21">
        <v>2020</v>
      </c>
      <c r="G94" s="51" t="s">
        <v>1233</v>
      </c>
      <c r="H94" s="21" t="s">
        <v>1258</v>
      </c>
    </row>
    <row r="95" spans="2:9" hidden="1">
      <c r="B95" s="21" t="s">
        <v>327</v>
      </c>
      <c r="C95" s="108">
        <v>40000</v>
      </c>
      <c r="D95" s="21" t="s">
        <v>328</v>
      </c>
      <c r="H95" s="27"/>
    </row>
    <row r="97" spans="1:9">
      <c r="A97" s="9">
        <v>4</v>
      </c>
      <c r="B97" s="53" t="s">
        <v>70</v>
      </c>
      <c r="C97" s="35"/>
      <c r="D97" s="35"/>
      <c r="E97" s="35"/>
      <c r="F97" s="35"/>
      <c r="G97" s="35"/>
      <c r="H97" s="35"/>
      <c r="I97" s="35"/>
    </row>
    <row r="98" spans="1:9">
      <c r="B98" s="24" t="s">
        <v>47</v>
      </c>
      <c r="C98" s="24" t="s">
        <v>48</v>
      </c>
      <c r="D98" s="24" t="s">
        <v>49</v>
      </c>
      <c r="E98" s="24" t="s">
        <v>28</v>
      </c>
      <c r="F98" s="24" t="s">
        <v>50</v>
      </c>
      <c r="G98" s="24" t="s">
        <v>29</v>
      </c>
      <c r="H98" s="24" t="s">
        <v>122</v>
      </c>
      <c r="I98" s="24" t="s">
        <v>123</v>
      </c>
    </row>
    <row r="100" spans="1:9">
      <c r="B100" s="21" t="s">
        <v>1259</v>
      </c>
      <c r="C100" s="108">
        <v>112417</v>
      </c>
      <c r="D100" s="21" t="s">
        <v>995</v>
      </c>
      <c r="E100" s="21" t="s">
        <v>1013</v>
      </c>
      <c r="F100" s="21">
        <v>2022</v>
      </c>
      <c r="G100" s="51" t="s">
        <v>1192</v>
      </c>
      <c r="H100" s="21" t="s">
        <v>1208</v>
      </c>
      <c r="I100" s="21" t="s">
        <v>1260</v>
      </c>
    </row>
    <row r="101" spans="1:9">
      <c r="B101" s="25" t="s">
        <v>1261</v>
      </c>
    </row>
    <row r="102" spans="1:9">
      <c r="B102" s="20" t="s">
        <v>1262</v>
      </c>
      <c r="C102" s="40">
        <v>407</v>
      </c>
      <c r="D102" s="21" t="s">
        <v>995</v>
      </c>
      <c r="E102" s="21" t="s">
        <v>1013</v>
      </c>
      <c r="F102" s="21">
        <v>2022</v>
      </c>
      <c r="G102" s="51" t="s">
        <v>1192</v>
      </c>
      <c r="H102" s="21" t="s">
        <v>1208</v>
      </c>
      <c r="I102" s="21" t="s">
        <v>1260</v>
      </c>
    </row>
    <row r="103" spans="1:9">
      <c r="B103" s="25" t="s">
        <v>487</v>
      </c>
    </row>
    <row r="104" spans="1:9">
      <c r="B104" s="20" t="s">
        <v>1262</v>
      </c>
      <c r="C104" s="108">
        <f>C100-C102</f>
        <v>112010</v>
      </c>
      <c r="D104" s="21" t="s">
        <v>995</v>
      </c>
      <c r="E104" s="21" t="s">
        <v>1013</v>
      </c>
      <c r="F104" s="21">
        <v>2022</v>
      </c>
      <c r="G104" s="51" t="s">
        <v>1192</v>
      </c>
      <c r="H104" s="21" t="s">
        <v>1208</v>
      </c>
      <c r="I104" s="21" t="s">
        <v>1260</v>
      </c>
    </row>
    <row r="105" spans="1:9" hidden="1">
      <c r="B105" s="20" t="s">
        <v>1263</v>
      </c>
      <c r="C105" s="44">
        <v>0.27</v>
      </c>
      <c r="D105" s="27" t="s">
        <v>33</v>
      </c>
      <c r="E105" s="21" t="s">
        <v>1162</v>
      </c>
      <c r="F105" s="21">
        <v>2022</v>
      </c>
      <c r="G105" s="51" t="s">
        <v>1163</v>
      </c>
      <c r="H105" s="21" t="s">
        <v>1264</v>
      </c>
      <c r="I105" s="21" t="s">
        <v>1265</v>
      </c>
    </row>
    <row r="106" spans="1:9" hidden="1">
      <c r="B106" s="20" t="s">
        <v>1266</v>
      </c>
      <c r="C106" s="108">
        <f>C105*C104</f>
        <v>30242.7</v>
      </c>
      <c r="D106" s="27"/>
      <c r="G106" s="51"/>
    </row>
    <row r="107" spans="1:9" hidden="1">
      <c r="B107" s="21" t="s">
        <v>1267</v>
      </c>
      <c r="C107" s="21">
        <v>4502</v>
      </c>
      <c r="D107" s="21" t="s">
        <v>995</v>
      </c>
      <c r="E107" s="21" t="s">
        <v>1013</v>
      </c>
      <c r="F107" s="21">
        <v>2022</v>
      </c>
      <c r="G107" s="51" t="s">
        <v>1192</v>
      </c>
      <c r="H107" s="21" t="s">
        <v>1208</v>
      </c>
      <c r="I107" s="21" t="s">
        <v>1260</v>
      </c>
    </row>
    <row r="108" spans="1:9" hidden="1">
      <c r="B108" s="21" t="s">
        <v>1268</v>
      </c>
      <c r="C108" s="44">
        <v>0.5</v>
      </c>
      <c r="G108" s="51"/>
    </row>
    <row r="109" spans="1:9" hidden="1">
      <c r="B109" s="21" t="s">
        <v>1269</v>
      </c>
      <c r="C109" s="126">
        <f>C106+C107</f>
        <v>34744.699999999997</v>
      </c>
      <c r="D109" s="21" t="s">
        <v>995</v>
      </c>
    </row>
    <row r="111" spans="1:9">
      <c r="B111" s="25" t="s">
        <v>350</v>
      </c>
    </row>
    <row r="112" spans="1:9">
      <c r="B112" s="20" t="s">
        <v>1496</v>
      </c>
      <c r="C112" s="21">
        <v>13</v>
      </c>
      <c r="D112" s="21" t="s">
        <v>1270</v>
      </c>
      <c r="E112" s="21" t="s">
        <v>1271</v>
      </c>
      <c r="F112" s="21">
        <v>2022</v>
      </c>
      <c r="G112" s="51" t="s">
        <v>1271</v>
      </c>
      <c r="H112" s="21" t="s">
        <v>1272</v>
      </c>
      <c r="I112" s="21" t="s">
        <v>1273</v>
      </c>
    </row>
    <row r="113" spans="2:10">
      <c r="B113" s="20" t="s">
        <v>351</v>
      </c>
      <c r="C113" s="27">
        <v>10</v>
      </c>
      <c r="D113" s="21" t="s">
        <v>1270</v>
      </c>
      <c r="E113" s="21" t="s">
        <v>1271</v>
      </c>
      <c r="F113" s="21">
        <v>2022</v>
      </c>
      <c r="G113" s="51" t="s">
        <v>1271</v>
      </c>
      <c r="H113" s="21" t="s">
        <v>1272</v>
      </c>
      <c r="I113" s="21" t="s">
        <v>1273</v>
      </c>
    </row>
    <row r="114" spans="2:10">
      <c r="B114" s="21" t="s">
        <v>1497</v>
      </c>
      <c r="C114" s="95">
        <f>(C109*C112)*POWER(10,-3)</f>
        <v>451.68109999999996</v>
      </c>
      <c r="D114" s="27" t="s">
        <v>53</v>
      </c>
    </row>
    <row r="115" spans="2:10">
      <c r="B115" s="21" t="s">
        <v>355</v>
      </c>
      <c r="C115" s="95">
        <f>(C109*C113)*POWER(10,-3)</f>
        <v>347.447</v>
      </c>
      <c r="D115" s="27" t="s">
        <v>53</v>
      </c>
      <c r="G115" s="51"/>
    </row>
    <row r="117" spans="2:10">
      <c r="B117" s="25" t="s">
        <v>356</v>
      </c>
    </row>
    <row r="118" spans="2:10">
      <c r="B118" s="147" t="s">
        <v>54</v>
      </c>
      <c r="C118" s="131">
        <v>36</v>
      </c>
      <c r="D118" s="131" t="s">
        <v>53</v>
      </c>
      <c r="E118" s="131" t="s">
        <v>357</v>
      </c>
      <c r="F118" s="131">
        <v>2022</v>
      </c>
      <c r="H118" s="131"/>
      <c r="I118" s="131"/>
      <c r="J118" s="131" t="s">
        <v>358</v>
      </c>
    </row>
    <row r="119" spans="2:10">
      <c r="B119" s="147" t="s">
        <v>359</v>
      </c>
      <c r="C119" s="150">
        <v>0.2</v>
      </c>
      <c r="D119" s="131" t="s">
        <v>33</v>
      </c>
      <c r="E119" s="131" t="s">
        <v>357</v>
      </c>
      <c r="F119" s="131">
        <v>2022</v>
      </c>
      <c r="H119" s="131"/>
      <c r="I119" s="131"/>
      <c r="J119" s="131"/>
    </row>
    <row r="120" spans="2:10">
      <c r="B120" s="20" t="s">
        <v>363</v>
      </c>
      <c r="C120" s="59" t="s">
        <v>940</v>
      </c>
      <c r="D120" s="21" t="s">
        <v>33</v>
      </c>
      <c r="E120" s="21" t="s">
        <v>1274</v>
      </c>
      <c r="F120" s="21">
        <v>2023</v>
      </c>
      <c r="G120" s="51"/>
      <c r="H120" s="27"/>
      <c r="I120" s="21" t="s">
        <v>1275</v>
      </c>
    </row>
    <row r="121" spans="2:10">
      <c r="B121" s="20"/>
      <c r="C121" s="59"/>
      <c r="G121" s="51"/>
      <c r="H121" s="27"/>
    </row>
    <row r="122" spans="2:10">
      <c r="B122" s="194" t="s">
        <v>1484</v>
      </c>
      <c r="E122" s="27"/>
      <c r="H122"/>
      <c r="I122"/>
    </row>
    <row r="123" spans="2:10">
      <c r="B123" s="20" t="s">
        <v>1485</v>
      </c>
      <c r="C123" s="101">
        <v>3.9E-2</v>
      </c>
      <c r="D123" s="21" t="s">
        <v>33</v>
      </c>
      <c r="E123" s="21" t="s">
        <v>1490</v>
      </c>
      <c r="F123" s="21">
        <v>2023</v>
      </c>
      <c r="G123" s="60" t="s">
        <v>1491</v>
      </c>
      <c r="I123"/>
    </row>
    <row r="124" spans="2:10">
      <c r="B124" s="20" t="s">
        <v>1486</v>
      </c>
      <c r="C124" s="101">
        <v>0.26900000000000002</v>
      </c>
      <c r="D124" s="21" t="s">
        <v>33</v>
      </c>
      <c r="E124" s="21" t="s">
        <v>1490</v>
      </c>
      <c r="F124" s="21">
        <v>2023</v>
      </c>
      <c r="G124" s="60" t="s">
        <v>1491</v>
      </c>
      <c r="I124"/>
    </row>
    <row r="125" spans="2:10">
      <c r="B125" s="20" t="s">
        <v>1487</v>
      </c>
      <c r="C125" s="101">
        <v>0.192</v>
      </c>
      <c r="D125" s="21" t="s">
        <v>33</v>
      </c>
      <c r="E125" s="21" t="s">
        <v>1490</v>
      </c>
      <c r="F125" s="21">
        <v>2023</v>
      </c>
      <c r="G125" s="60" t="s">
        <v>1491</v>
      </c>
      <c r="I125"/>
    </row>
    <row r="126" spans="2:10">
      <c r="B126" s="20" t="s">
        <v>1488</v>
      </c>
      <c r="C126" s="101">
        <v>0.38500000000000001</v>
      </c>
      <c r="D126" s="21" t="s">
        <v>33</v>
      </c>
      <c r="E126" s="21" t="s">
        <v>1490</v>
      </c>
      <c r="F126" s="21">
        <v>2023</v>
      </c>
      <c r="G126" s="60" t="s">
        <v>1491</v>
      </c>
      <c r="I126"/>
    </row>
    <row r="127" spans="2:10">
      <c r="B127" s="20" t="s">
        <v>1489</v>
      </c>
      <c r="C127" s="101">
        <v>0.115</v>
      </c>
      <c r="D127" s="21" t="s">
        <v>33</v>
      </c>
      <c r="E127" s="21" t="s">
        <v>1490</v>
      </c>
      <c r="F127" s="21">
        <v>2023</v>
      </c>
      <c r="G127" s="60" t="s">
        <v>1491</v>
      </c>
      <c r="I127"/>
    </row>
    <row r="128" spans="2:10">
      <c r="B128" s="25"/>
    </row>
    <row r="129" spans="2:9" s="18" customFormat="1">
      <c r="B129" s="53" t="s">
        <v>370</v>
      </c>
      <c r="C129" s="35"/>
      <c r="D129" s="35"/>
      <c r="E129" s="35"/>
      <c r="F129" s="35"/>
      <c r="G129" s="35"/>
      <c r="H129" s="35"/>
      <c r="I129" s="35"/>
    </row>
  </sheetData>
  <mergeCells count="2">
    <mergeCell ref="C44:C47"/>
    <mergeCell ref="C42:C43"/>
  </mergeCells>
  <phoneticPr fontId="16" type="noConversion"/>
  <dataValidations count="1">
    <dataValidation type="list" allowBlank="1" showInputMessage="1" showErrorMessage="1" sqref="J122:J127" xr:uid="{840D91BD-910D-47DC-9B49-2EFA7D7CC1EB}">
      <formula1>"Available annually, Available every few years, Infrequent / Once-off"</formula1>
    </dataValidation>
  </dataValidations>
  <hyperlinks>
    <hyperlink ref="G51" r:id="rId1" xr:uid="{3259F268-255D-447A-9F99-C2134E7BB1C1}"/>
    <hyperlink ref="G53" r:id="rId2" xr:uid="{C386D8E4-8815-4031-8CEF-B214C687AF37}"/>
    <hyperlink ref="G52" r:id="rId3" xr:uid="{9B187B7A-5204-4E7C-972E-15852BF70729}"/>
    <hyperlink ref="G50" r:id="rId4" xr:uid="{4236A856-D2DB-461D-AB2A-3D5ED7E0829F}"/>
    <hyperlink ref="G100" r:id="rId5" location=":~:text=Already%20by%202030%2C%205%25%20of,all%20fossil%20fuels%20are%20eliminated." xr:uid="{3E216C61-E5DC-47C9-B259-463BF6E16446}"/>
    <hyperlink ref="G102" r:id="rId6" location=":~:text=Already%20by%202030%2C%205%25%20of,all%20fossil%20fuels%20are%20eliminated." xr:uid="{31111A54-F2BB-4D87-B2BE-53573F481FDD}"/>
    <hyperlink ref="G104" r:id="rId7" location=":~:text=Already%20by%202030%2C%205%25%20of,all%20fossil%20fuels%20are%20eliminated." xr:uid="{7DFEBB4B-BC79-409E-896D-13E6E83E6BD7}"/>
    <hyperlink ref="G113" r:id="rId8" location=":~:text=Among%20the%20broad%20spectrum%20of,wake%20basis%20and%20in%20some" xr:uid="{6CD121A0-3867-44E5-94CC-9E09EA0D7285}"/>
    <hyperlink ref="G94" r:id="rId9" xr:uid="{575B1C94-EC16-415D-A098-7C037805C34C}"/>
    <hyperlink ref="G86" r:id="rId10" xr:uid="{300984FB-4B75-4895-B2F0-D768A102F815}"/>
    <hyperlink ref="G12" r:id="rId11" location=":~:text=Already%20by%202030%2C%205%25%20of,all%20fossil%20fuels%20are%20eliminated." xr:uid="{D12ABAE6-2312-4BB6-86DE-DB37E77C7102}"/>
    <hyperlink ref="G26" r:id="rId12" xr:uid="{85D250F2-F1CD-4E6F-A4D6-9E4AD4173656}"/>
    <hyperlink ref="G29" r:id="rId13" xr:uid="{3DE5D9AF-9BA8-4666-81E6-7044450B3F0D}"/>
    <hyperlink ref="G72" r:id="rId14" xr:uid="{AC65AB46-57F2-4910-A944-935FC8D9824D}"/>
    <hyperlink ref="G19" r:id="rId15" xr:uid="{17486968-6A47-48C9-BDC9-AC6F5397F652}"/>
    <hyperlink ref="G18" r:id="rId16" xr:uid="{371222B0-CD80-4A45-9C38-AEA3D74EC408}"/>
    <hyperlink ref="G32" r:id="rId17" location=":~:text=Already%20by%202030%2C%205%25%20of,all%20fossil%20fuels%20are%20eliminated." xr:uid="{E864170F-892F-4D06-8615-7C043E279203}"/>
    <hyperlink ref="G92" r:id="rId18" xr:uid="{721EFDC4-9A74-4BE8-B210-582C230A83A8}"/>
    <hyperlink ref="G112" r:id="rId19" location=":~:text=Among%20the%20broad%20spectrum%20of,wake%20basis%20and%20in%20some" xr:uid="{2BC80CD2-6F4C-4838-BBFB-9DACC68E45FE}"/>
    <hyperlink ref="G71" r:id="rId20" display="IRENA Shipping Decarbonization Pathway 2021" xr:uid="{3B2CFB7A-FBF0-4899-A67C-FF903CA43FAC}"/>
    <hyperlink ref="G107" r:id="rId21" location=":~:text=Already%20by%202030%2C%205%25%20of,all%20fossil%20fuels%20are%20eliminated." xr:uid="{D041C467-3648-40F5-A445-7941BFCB1ED0}"/>
    <hyperlink ref="G105" r:id="rId22" location=":~:text=UNCTAD%20projects%20global%20maritime%20trade,during%20the%20past%20three%20decades." xr:uid="{F2052195-54C8-4BFB-9A66-5932CCDC179C}"/>
  </hyperlinks>
  <pageMargins left="0.7" right="0.7" top="0.75" bottom="0.75" header="0.3" footer="0.3"/>
  <pageSetup orientation="portrait" r:id="rId2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CB838-8474-4C35-B903-CCEEE900F5D4}">
  <sheetPr codeName="Sheet23">
    <tabColor theme="5" tint="-0.249977111117893"/>
  </sheetPr>
  <dimension ref="A1:J61"/>
  <sheetViews>
    <sheetView showGridLines="0" topLeftCell="A17" zoomScale="80" zoomScaleNormal="80" workbookViewId="0">
      <selection activeCell="G33" sqref="G33"/>
    </sheetView>
  </sheetViews>
  <sheetFormatPr baseColWidth="10" defaultColWidth="8.83203125" defaultRowHeight="15"/>
  <cols>
    <col min="1" max="1" width="9.1640625" customWidth="1"/>
    <col min="2" max="2" width="40.83203125" customWidth="1"/>
    <col min="3" max="3" width="28" style="21" customWidth="1"/>
    <col min="4" max="4" width="18.5" style="21" customWidth="1"/>
    <col min="5" max="5" width="27.5" style="21" customWidth="1"/>
    <col min="6" max="6" width="11.83203125" style="21" customWidth="1"/>
    <col min="7" max="7" width="38.5" style="21" customWidth="1"/>
    <col min="8" max="8" width="26" style="21" customWidth="1"/>
    <col min="9" max="9" width="33.83203125" style="21" customWidth="1"/>
  </cols>
  <sheetData>
    <row r="1" spans="2:9" s="1" customFormat="1">
      <c r="C1" s="2"/>
      <c r="D1" s="2"/>
      <c r="E1" s="2"/>
      <c r="F1" s="2"/>
      <c r="G1" s="2"/>
      <c r="H1" s="2"/>
      <c r="I1" s="2"/>
    </row>
    <row r="2" spans="2:9" s="1" customFormat="1" ht="15" customHeight="1">
      <c r="B2" s="19" t="s">
        <v>371</v>
      </c>
      <c r="C2" s="43"/>
      <c r="D2" s="43"/>
      <c r="E2" s="2"/>
      <c r="F2" s="2"/>
      <c r="G2" s="2"/>
      <c r="H2" s="2"/>
      <c r="I2" s="2"/>
    </row>
    <row r="3" spans="2:9" s="1" customFormat="1" ht="15" customHeight="1">
      <c r="B3" s="19" t="s">
        <v>1476</v>
      </c>
      <c r="C3" s="43"/>
      <c r="D3" s="2"/>
      <c r="E3" s="2"/>
      <c r="F3" s="2"/>
      <c r="G3" s="2"/>
      <c r="H3" s="2"/>
      <c r="I3" s="2"/>
    </row>
    <row r="4" spans="2:9" s="4" customFormat="1" ht="15" customHeight="1" thickBot="1">
      <c r="C4" s="5"/>
      <c r="D4" s="5"/>
      <c r="E4" s="5"/>
      <c r="F4" s="5"/>
      <c r="G4" s="5"/>
      <c r="H4" s="5"/>
      <c r="I4" s="5"/>
    </row>
    <row r="6" spans="2:9" ht="14.25" customHeight="1"/>
    <row r="7" spans="2:9">
      <c r="B7" s="13" t="s">
        <v>1276</v>
      </c>
      <c r="C7" s="35"/>
      <c r="D7" s="35"/>
      <c r="E7" s="35"/>
      <c r="F7" s="35"/>
      <c r="G7" s="35"/>
      <c r="H7" s="35"/>
      <c r="I7" s="35"/>
    </row>
    <row r="8" spans="2:9">
      <c r="B8" s="19" t="s">
        <v>47</v>
      </c>
      <c r="C8" s="24" t="s">
        <v>48</v>
      </c>
      <c r="D8" s="24" t="s">
        <v>49</v>
      </c>
      <c r="E8" s="24" t="s">
        <v>28</v>
      </c>
      <c r="F8" s="24" t="s">
        <v>50</v>
      </c>
      <c r="G8" s="24" t="s">
        <v>29</v>
      </c>
      <c r="H8" s="24" t="s">
        <v>122</v>
      </c>
      <c r="I8" s="24" t="s">
        <v>123</v>
      </c>
    </row>
    <row r="9" spans="2:9">
      <c r="B9" t="s">
        <v>124</v>
      </c>
      <c r="C9" s="119">
        <f>SUM(C10:C11)</f>
        <v>1.649</v>
      </c>
      <c r="D9" s="21" t="s">
        <v>125</v>
      </c>
    </row>
    <row r="10" spans="2:9">
      <c r="B10" s="20" t="s">
        <v>1151</v>
      </c>
      <c r="C10" s="120">
        <v>1.1990000000000001</v>
      </c>
      <c r="D10" s="21" t="s">
        <v>125</v>
      </c>
      <c r="E10" s="21" t="s">
        <v>51</v>
      </c>
      <c r="F10" s="21">
        <v>2022</v>
      </c>
      <c r="G10" s="51" t="s">
        <v>1277</v>
      </c>
      <c r="I10" s="21" t="s">
        <v>1278</v>
      </c>
    </row>
    <row r="11" spans="2:9">
      <c r="B11" s="20" t="s">
        <v>1152</v>
      </c>
      <c r="C11" s="119">
        <v>0.45</v>
      </c>
      <c r="D11" s="21" t="s">
        <v>125</v>
      </c>
      <c r="I11" s="21" t="s">
        <v>587</v>
      </c>
    </row>
    <row r="12" spans="2:9">
      <c r="B12" s="20" t="s">
        <v>1155</v>
      </c>
      <c r="C12" s="119">
        <f>(C10/0.8)*0.08</f>
        <v>0.11990000000000001</v>
      </c>
      <c r="D12" s="21" t="s">
        <v>125</v>
      </c>
      <c r="I12" s="21" t="s">
        <v>1156</v>
      </c>
    </row>
    <row r="13" spans="2:9">
      <c r="B13" t="s">
        <v>1157</v>
      </c>
      <c r="C13" s="120"/>
      <c r="D13" s="21" t="s">
        <v>125</v>
      </c>
      <c r="G13" s="60"/>
      <c r="H13" s="27"/>
    </row>
    <row r="14" spans="2:9">
      <c r="B14" t="s">
        <v>133</v>
      </c>
      <c r="C14" s="38" t="s">
        <v>42</v>
      </c>
      <c r="D14" s="21" t="s">
        <v>125</v>
      </c>
    </row>
    <row r="15" spans="2:9">
      <c r="B15" t="s">
        <v>136</v>
      </c>
      <c r="C15" s="38" t="s">
        <v>42</v>
      </c>
      <c r="D15" s="21" t="s">
        <v>125</v>
      </c>
    </row>
    <row r="17" spans="1:10">
      <c r="A17" s="9"/>
      <c r="B17" s="13" t="s">
        <v>1159</v>
      </c>
      <c r="C17" s="35"/>
      <c r="D17" s="35"/>
      <c r="E17" s="35"/>
      <c r="F17" s="35"/>
      <c r="G17" s="35"/>
      <c r="H17" s="35"/>
      <c r="I17" s="35"/>
    </row>
    <row r="18" spans="1:10">
      <c r="B18" s="19" t="s">
        <v>47</v>
      </c>
      <c r="C18" s="24" t="s">
        <v>48</v>
      </c>
      <c r="D18" s="24" t="s">
        <v>49</v>
      </c>
      <c r="E18" s="24" t="s">
        <v>28</v>
      </c>
      <c r="F18" s="24" t="s">
        <v>50</v>
      </c>
      <c r="G18" s="24" t="s">
        <v>29</v>
      </c>
      <c r="H18" s="24" t="s">
        <v>122</v>
      </c>
      <c r="I18" s="24" t="s">
        <v>123</v>
      </c>
    </row>
    <row r="19" spans="1:10">
      <c r="B19" t="s">
        <v>1160</v>
      </c>
      <c r="C19" s="121">
        <v>25761</v>
      </c>
      <c r="D19" s="21" t="s">
        <v>1279</v>
      </c>
      <c r="E19" s="21" t="s">
        <v>51</v>
      </c>
      <c r="F19" s="21">
        <v>2020</v>
      </c>
      <c r="G19" s="51" t="s">
        <v>19</v>
      </c>
      <c r="H19" s="21">
        <v>200</v>
      </c>
    </row>
    <row r="20" spans="1:10">
      <c r="E20" s="27"/>
      <c r="F20" s="27"/>
      <c r="G20" s="27"/>
      <c r="H20" s="27"/>
    </row>
    <row r="21" spans="1:10">
      <c r="A21" s="9"/>
      <c r="B21" s="13" t="s">
        <v>1166</v>
      </c>
      <c r="C21" s="35"/>
      <c r="D21" s="35"/>
      <c r="E21" s="35"/>
      <c r="F21" s="35"/>
      <c r="G21" s="35"/>
      <c r="H21" s="35"/>
      <c r="I21" s="35"/>
    </row>
    <row r="22" spans="1:10">
      <c r="B22" s="19" t="s">
        <v>47</v>
      </c>
      <c r="C22" s="24" t="s">
        <v>48</v>
      </c>
      <c r="D22" s="24" t="s">
        <v>49</v>
      </c>
      <c r="E22" s="24" t="s">
        <v>28</v>
      </c>
      <c r="F22" s="24" t="s">
        <v>50</v>
      </c>
      <c r="G22" s="24" t="s">
        <v>29</v>
      </c>
      <c r="H22" s="24" t="s">
        <v>122</v>
      </c>
      <c r="I22" s="24" t="s">
        <v>123</v>
      </c>
    </row>
    <row r="23" spans="1:10">
      <c r="B23" t="s">
        <v>1167</v>
      </c>
      <c r="C23" s="46"/>
      <c r="D23" s="52" t="s">
        <v>1168</v>
      </c>
      <c r="E23" s="27"/>
      <c r="G23" s="27"/>
      <c r="H23" s="27"/>
    </row>
    <row r="24" spans="1:10">
      <c r="B24" s="20" t="s">
        <v>160</v>
      </c>
      <c r="C24" s="95">
        <v>94.37</v>
      </c>
      <c r="D24" s="52" t="s">
        <v>1168</v>
      </c>
      <c r="E24" s="21" t="s">
        <v>51</v>
      </c>
      <c r="F24" s="21">
        <v>2022</v>
      </c>
      <c r="G24" t="s">
        <v>66</v>
      </c>
    </row>
    <row r="25" spans="1:10">
      <c r="B25" t="s">
        <v>1280</v>
      </c>
      <c r="C25" s="40">
        <f>56.6/0.621</f>
        <v>91.143317230273752</v>
      </c>
      <c r="D25" s="52" t="s">
        <v>1168</v>
      </c>
      <c r="E25" s="21" t="s">
        <v>1281</v>
      </c>
      <c r="F25" s="21">
        <v>2020</v>
      </c>
      <c r="G25" s="60" t="s">
        <v>1282</v>
      </c>
      <c r="H25" s="27"/>
      <c r="J25" s="16"/>
    </row>
    <row r="26" spans="1:10">
      <c r="B26" t="s">
        <v>1283</v>
      </c>
      <c r="C26" s="40">
        <f>83.3/0.621</f>
        <v>134.13848631239935</v>
      </c>
      <c r="D26" s="52" t="s">
        <v>1168</v>
      </c>
      <c r="E26" s="21" t="s">
        <v>1281</v>
      </c>
      <c r="F26" s="21">
        <v>2020</v>
      </c>
      <c r="G26" s="60" t="s">
        <v>1282</v>
      </c>
      <c r="H26" s="27"/>
      <c r="J26" s="16"/>
    </row>
    <row r="27" spans="1:10">
      <c r="B27" t="s">
        <v>1284</v>
      </c>
      <c r="C27" s="40">
        <f>307.2/0.621</f>
        <v>494.68599033816423</v>
      </c>
      <c r="D27" s="52" t="s">
        <v>1168</v>
      </c>
      <c r="E27" s="21" t="s">
        <v>1281</v>
      </c>
      <c r="F27" s="21">
        <v>2020</v>
      </c>
      <c r="G27" s="60" t="s">
        <v>1282</v>
      </c>
      <c r="H27" s="27"/>
    </row>
    <row r="28" spans="1:10">
      <c r="C28" s="47"/>
    </row>
    <row r="29" spans="1:10">
      <c r="A29" s="9"/>
      <c r="B29" s="13" t="s">
        <v>170</v>
      </c>
      <c r="C29" s="35"/>
      <c r="D29" s="35"/>
      <c r="E29" s="35"/>
      <c r="F29" s="35"/>
      <c r="G29" s="35"/>
      <c r="H29" s="35"/>
      <c r="I29" s="35"/>
    </row>
    <row r="30" spans="1:10">
      <c r="B30" s="19" t="s">
        <v>47</v>
      </c>
      <c r="C30" s="24" t="s">
        <v>48</v>
      </c>
      <c r="D30" s="24" t="s">
        <v>49</v>
      </c>
      <c r="E30" s="24" t="s">
        <v>28</v>
      </c>
      <c r="F30" s="24" t="s">
        <v>50</v>
      </c>
      <c r="G30" s="24" t="s">
        <v>29</v>
      </c>
      <c r="H30" s="24" t="s">
        <v>122</v>
      </c>
      <c r="I30" s="24" t="s">
        <v>123</v>
      </c>
    </row>
    <row r="31" spans="1:10">
      <c r="B31" t="s">
        <v>171</v>
      </c>
      <c r="C31" s="49">
        <f>SUM(C32:C36)</f>
        <v>25.999999999999996</v>
      </c>
      <c r="D31" s="21" t="s">
        <v>38</v>
      </c>
      <c r="E31" s="27"/>
      <c r="F31" s="27"/>
      <c r="G31" s="27"/>
      <c r="H31" s="27"/>
    </row>
    <row r="32" spans="1:10">
      <c r="B32" s="20" t="s">
        <v>1285</v>
      </c>
      <c r="C32" s="46">
        <v>21.250773993808046</v>
      </c>
      <c r="D32" s="21" t="s">
        <v>38</v>
      </c>
      <c r="F32" s="21">
        <v>2021</v>
      </c>
      <c r="G32" s="51"/>
    </row>
    <row r="33" spans="2:9">
      <c r="B33" s="20" t="s">
        <v>1286</v>
      </c>
      <c r="C33" s="46">
        <v>2.8173374613003093</v>
      </c>
      <c r="D33" s="21" t="s">
        <v>38</v>
      </c>
      <c r="F33" s="21">
        <v>2021</v>
      </c>
      <c r="G33" s="51"/>
    </row>
    <row r="34" spans="2:9">
      <c r="B34" s="20" t="s">
        <v>16</v>
      </c>
      <c r="C34" s="46">
        <v>0.88544891640866863</v>
      </c>
      <c r="D34" s="21" t="s">
        <v>38</v>
      </c>
      <c r="F34" s="21">
        <v>2021</v>
      </c>
      <c r="G34" s="51"/>
    </row>
    <row r="35" spans="2:9">
      <c r="B35" s="20" t="s">
        <v>59</v>
      </c>
      <c r="C35" s="46">
        <v>0.96594427244582026</v>
      </c>
      <c r="D35" s="21" t="s">
        <v>38</v>
      </c>
      <c r="F35" s="21">
        <v>2021</v>
      </c>
      <c r="G35" s="51"/>
    </row>
    <row r="36" spans="2:9">
      <c r="B36" s="20" t="s">
        <v>40</v>
      </c>
      <c r="C36" s="46">
        <v>8.0495356037151702E-2</v>
      </c>
      <c r="D36" s="21" t="s">
        <v>38</v>
      </c>
      <c r="F36" s="21">
        <v>2021</v>
      </c>
      <c r="G36" s="51"/>
    </row>
    <row r="37" spans="2:9">
      <c r="B37" s="20"/>
      <c r="C37" s="46"/>
      <c r="G37" s="51"/>
    </row>
    <row r="38" spans="2:9">
      <c r="B38" t="s">
        <v>171</v>
      </c>
    </row>
    <row r="39" spans="2:9">
      <c r="B39" s="20" t="s">
        <v>1285</v>
      </c>
      <c r="C39" s="45">
        <v>0.81733746130030949</v>
      </c>
      <c r="D39" s="21" t="s">
        <v>33</v>
      </c>
      <c r="E39" s="27" t="s">
        <v>51</v>
      </c>
      <c r="F39" s="27">
        <v>2021</v>
      </c>
      <c r="G39" s="51" t="s">
        <v>1287</v>
      </c>
      <c r="H39" s="27"/>
      <c r="I39" s="21" t="s">
        <v>1288</v>
      </c>
    </row>
    <row r="40" spans="2:9">
      <c r="B40" s="20" t="s">
        <v>1286</v>
      </c>
      <c r="C40" s="45">
        <v>0.10835913312693497</v>
      </c>
      <c r="D40" s="21" t="s">
        <v>33</v>
      </c>
      <c r="E40" s="27" t="s">
        <v>51</v>
      </c>
      <c r="F40" s="27">
        <v>2021</v>
      </c>
      <c r="G40" s="51" t="s">
        <v>1287</v>
      </c>
      <c r="H40" s="27"/>
      <c r="I40" s="21" t="s">
        <v>1288</v>
      </c>
    </row>
    <row r="41" spans="2:9">
      <c r="B41" s="20" t="s">
        <v>16</v>
      </c>
      <c r="C41" s="45">
        <v>3.4055727554179564E-2</v>
      </c>
      <c r="D41" s="21" t="s">
        <v>33</v>
      </c>
      <c r="E41" s="27" t="s">
        <v>51</v>
      </c>
      <c r="F41" s="27">
        <v>2021</v>
      </c>
      <c r="G41" s="51" t="s">
        <v>1287</v>
      </c>
      <c r="H41" s="27"/>
      <c r="I41" s="21" t="s">
        <v>1288</v>
      </c>
    </row>
    <row r="42" spans="2:9">
      <c r="B42" s="20" t="s">
        <v>59</v>
      </c>
      <c r="C42" s="45">
        <v>3.7151702786377701E-2</v>
      </c>
      <c r="D42" s="21" t="s">
        <v>33</v>
      </c>
      <c r="E42" s="27" t="s">
        <v>51</v>
      </c>
      <c r="F42" s="27">
        <v>2021</v>
      </c>
      <c r="G42" s="51" t="s">
        <v>1287</v>
      </c>
      <c r="H42" s="27"/>
      <c r="I42" s="21" t="s">
        <v>1288</v>
      </c>
    </row>
    <row r="43" spans="2:9">
      <c r="B43" s="20" t="s">
        <v>40</v>
      </c>
      <c r="C43" s="123">
        <v>3.0959752321981422E-3</v>
      </c>
      <c r="D43" s="21" t="s">
        <v>33</v>
      </c>
      <c r="E43" s="27" t="s">
        <v>51</v>
      </c>
      <c r="F43" s="27">
        <v>2021</v>
      </c>
      <c r="G43" s="51" t="s">
        <v>1287</v>
      </c>
      <c r="H43" s="27"/>
      <c r="I43" s="21" t="s">
        <v>1288</v>
      </c>
    </row>
    <row r="44" spans="2:9">
      <c r="B44" s="20"/>
      <c r="C44" s="48"/>
      <c r="E44" s="27"/>
      <c r="F44" s="27"/>
      <c r="G44" s="27"/>
      <c r="H44" s="27"/>
    </row>
    <row r="45" spans="2:9">
      <c r="B45" t="s">
        <v>176</v>
      </c>
      <c r="C45" s="95">
        <f>SUMPRODUCT(C39:C43,C46:C50)</f>
        <v>69.546955108359114</v>
      </c>
      <c r="D45" s="21" t="s">
        <v>177</v>
      </c>
      <c r="E45" s="21" t="s">
        <v>178</v>
      </c>
      <c r="F45" s="21">
        <v>2022</v>
      </c>
      <c r="G45" s="51" t="s">
        <v>179</v>
      </c>
      <c r="H45" s="27"/>
    </row>
    <row r="46" spans="2:9">
      <c r="B46" s="20" t="s">
        <v>1285</v>
      </c>
      <c r="C46" s="40">
        <v>70.432999999999993</v>
      </c>
      <c r="D46" s="21" t="s">
        <v>177</v>
      </c>
      <c r="E46" s="21" t="s">
        <v>178</v>
      </c>
      <c r="F46" s="21">
        <v>2022</v>
      </c>
      <c r="G46" s="21" t="s">
        <v>129</v>
      </c>
    </row>
    <row r="47" spans="2:9">
      <c r="B47" s="20" t="s">
        <v>1286</v>
      </c>
      <c r="C47" s="40">
        <v>67.126999999999995</v>
      </c>
      <c r="D47" s="21" t="s">
        <v>177</v>
      </c>
      <c r="E47" s="21" t="s">
        <v>178</v>
      </c>
      <c r="F47" s="21">
        <v>2022</v>
      </c>
      <c r="G47" s="21" t="s">
        <v>129</v>
      </c>
    </row>
    <row r="48" spans="2:9">
      <c r="B48" s="20" t="s">
        <v>16</v>
      </c>
      <c r="C48" s="40">
        <v>50.264499999999991</v>
      </c>
      <c r="D48" s="21" t="s">
        <v>177</v>
      </c>
      <c r="E48" s="21" t="s">
        <v>178</v>
      </c>
      <c r="F48" s="21">
        <v>2022</v>
      </c>
      <c r="G48" s="21" t="s">
        <v>129</v>
      </c>
    </row>
    <row r="49" spans="2:9">
      <c r="B49" s="20" t="s">
        <v>59</v>
      </c>
      <c r="C49" s="40">
        <v>70</v>
      </c>
      <c r="D49" s="21" t="s">
        <v>177</v>
      </c>
      <c r="E49" s="21" t="s">
        <v>178</v>
      </c>
      <c r="F49" s="21">
        <v>2022</v>
      </c>
      <c r="G49" s="21" t="s">
        <v>129</v>
      </c>
    </row>
    <row r="50" spans="2:9">
      <c r="B50" s="20" t="s">
        <v>40</v>
      </c>
      <c r="C50" s="21">
        <v>127</v>
      </c>
      <c r="D50" s="21" t="s">
        <v>177</v>
      </c>
      <c r="E50" s="27" t="s">
        <v>51</v>
      </c>
      <c r="F50" s="27">
        <v>2022</v>
      </c>
      <c r="G50" s="60" t="s">
        <v>183</v>
      </c>
      <c r="H50" s="27"/>
    </row>
    <row r="51" spans="2:9">
      <c r="B51" s="20"/>
      <c r="E51" s="27"/>
      <c r="F51" s="27"/>
      <c r="G51" s="60"/>
      <c r="H51" s="27"/>
    </row>
    <row r="52" spans="2:9">
      <c r="B52" s="194" t="s">
        <v>781</v>
      </c>
      <c r="E52" s="27"/>
      <c r="F52" s="27"/>
      <c r="G52" s="60"/>
      <c r="H52" s="27"/>
    </row>
    <row r="53" spans="2:9">
      <c r="B53" s="20" t="s">
        <v>40</v>
      </c>
      <c r="C53" s="213">
        <v>0.78</v>
      </c>
      <c r="E53" s="21" t="s">
        <v>185</v>
      </c>
      <c r="F53" s="21">
        <v>2022</v>
      </c>
      <c r="G53" s="51" t="s">
        <v>185</v>
      </c>
      <c r="H53" s="27"/>
      <c r="I53" s="21" t="s">
        <v>1289</v>
      </c>
    </row>
    <row r="54" spans="2:9">
      <c r="B54" s="20" t="s">
        <v>75</v>
      </c>
      <c r="C54" s="213">
        <v>0.22</v>
      </c>
      <c r="E54" s="21" t="s">
        <v>185</v>
      </c>
      <c r="F54" s="21">
        <v>2023</v>
      </c>
      <c r="G54" s="51" t="s">
        <v>185</v>
      </c>
      <c r="H54" s="27"/>
      <c r="I54" s="21" t="s">
        <v>1289</v>
      </c>
    </row>
    <row r="56" spans="2:9">
      <c r="B56" s="13" t="s">
        <v>196</v>
      </c>
      <c r="C56" s="35"/>
      <c r="D56" s="35"/>
      <c r="E56" s="35"/>
      <c r="F56" s="35"/>
      <c r="G56" s="35"/>
      <c r="H56" s="35"/>
      <c r="I56" s="35"/>
    </row>
    <row r="57" spans="2:9">
      <c r="B57" s="19" t="s">
        <v>47</v>
      </c>
      <c r="C57" s="24" t="s">
        <v>48</v>
      </c>
      <c r="D57" s="24" t="s">
        <v>49</v>
      </c>
      <c r="E57" s="24" t="s">
        <v>28</v>
      </c>
      <c r="F57" s="24" t="s">
        <v>50</v>
      </c>
      <c r="G57" s="24" t="s">
        <v>29</v>
      </c>
      <c r="H57" s="24" t="s">
        <v>122</v>
      </c>
      <c r="I57" s="24" t="s">
        <v>123</v>
      </c>
    </row>
    <row r="59" spans="2:9">
      <c r="B59" t="s">
        <v>1290</v>
      </c>
      <c r="C59" s="124">
        <f>C19</f>
        <v>25761</v>
      </c>
      <c r="D59" s="21" t="s">
        <v>1279</v>
      </c>
      <c r="E59" s="21" t="s">
        <v>51</v>
      </c>
      <c r="F59" s="21">
        <v>2020</v>
      </c>
      <c r="G59" s="51" t="s">
        <v>19</v>
      </c>
      <c r="H59" s="21">
        <v>200</v>
      </c>
    </row>
    <row r="60" spans="2:9">
      <c r="B60" t="s">
        <v>1185</v>
      </c>
      <c r="C60" s="186">
        <v>60000</v>
      </c>
    </row>
    <row r="61" spans="2:9">
      <c r="B61" t="s">
        <v>1291</v>
      </c>
      <c r="C61" s="129">
        <v>59990</v>
      </c>
      <c r="D61" s="21" t="s">
        <v>1161</v>
      </c>
      <c r="E61" s="21" t="s">
        <v>51</v>
      </c>
    </row>
  </sheetData>
  <hyperlinks>
    <hyperlink ref="G10" r:id="rId1" xr:uid="{0CE99768-DF2B-4945-B6C9-12E0432A44AD}"/>
    <hyperlink ref="G19" r:id="rId2" xr:uid="{D90DB5FD-7FA3-4D6A-9961-2C0A4DDC3081}"/>
    <hyperlink ref="G45" r:id="rId3" xr:uid="{7DACD1B3-0BA4-4ED9-89FD-C033912EC78A}"/>
    <hyperlink ref="G50" r:id="rId4" xr:uid="{88ACEED2-91DA-4AFF-98BA-ACAECC20211D}"/>
    <hyperlink ref="G39" r:id="rId5" xr:uid="{A7A1D4E0-5AB9-4D91-87D5-75F80145E036}"/>
    <hyperlink ref="G40" r:id="rId6" xr:uid="{93A12774-F654-4515-A7A3-D91F1AC4E1BA}"/>
    <hyperlink ref="G41" r:id="rId7" xr:uid="{0CF548C6-1492-415E-B093-2664BA0894B9}"/>
    <hyperlink ref="G42" r:id="rId8" xr:uid="{B70DC1E0-EC6A-435B-9744-20071799C999}"/>
    <hyperlink ref="G43" r:id="rId9" xr:uid="{4D8F76E1-5232-4415-BC76-6A8E2197D687}"/>
    <hyperlink ref="G59" r:id="rId10" xr:uid="{0DAD737E-A8FB-446A-B349-E00A246266BB}"/>
    <hyperlink ref="G53" r:id="rId11" xr:uid="{1F643AF5-47F1-4BDD-A0B6-B888B01CC166}"/>
    <hyperlink ref="G54" r:id="rId12" xr:uid="{8C084CA6-A817-4BF3-8995-5478B85CEB09}"/>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3D3B-93CA-4BDB-9B1C-06CF987072FA}">
  <sheetPr>
    <tabColor rgb="FF7030A0"/>
  </sheetPr>
  <dimension ref="A3:N102"/>
  <sheetViews>
    <sheetView showGridLines="0" tabSelected="1" topLeftCell="A35" workbookViewId="0">
      <selection activeCell="S45" sqref="S45"/>
    </sheetView>
  </sheetViews>
  <sheetFormatPr baseColWidth="10" defaultColWidth="8.83203125" defaultRowHeight="15"/>
  <cols>
    <col min="2" max="2" width="8.6640625" style="8"/>
    <col min="4" max="4" width="9.33203125" bestFit="1" customWidth="1"/>
    <col min="6" max="6" width="13.1640625" customWidth="1"/>
  </cols>
  <sheetData>
    <row r="3" spans="1:14" s="18" customFormat="1">
      <c r="A3"/>
      <c r="B3" s="8">
        <v>1</v>
      </c>
      <c r="C3" s="13" t="s">
        <v>37</v>
      </c>
      <c r="D3" s="13"/>
      <c r="E3" s="13"/>
      <c r="F3" s="13"/>
      <c r="G3" s="13"/>
      <c r="H3" s="13"/>
      <c r="I3" s="13"/>
      <c r="J3" s="13"/>
      <c r="K3" s="13"/>
      <c r="L3" s="13"/>
      <c r="M3" s="13"/>
      <c r="N3" s="13"/>
    </row>
    <row r="4" spans="1:14">
      <c r="C4" s="23" t="s">
        <v>38</v>
      </c>
      <c r="D4" s="215" t="s">
        <v>39</v>
      </c>
      <c r="E4" s="215" t="s">
        <v>15</v>
      </c>
      <c r="F4" s="215" t="s">
        <v>16</v>
      </c>
      <c r="G4" s="215" t="s">
        <v>40</v>
      </c>
      <c r="H4" s="216" t="s">
        <v>59</v>
      </c>
      <c r="I4" s="215" t="s">
        <v>32</v>
      </c>
      <c r="J4" s="215" t="s">
        <v>28</v>
      </c>
      <c r="K4" s="215" t="s">
        <v>29</v>
      </c>
      <c r="L4" s="215" t="s">
        <v>1556</v>
      </c>
    </row>
    <row r="5" spans="1:14">
      <c r="C5" s="36" t="s">
        <v>20</v>
      </c>
      <c r="D5" s="47"/>
      <c r="E5" s="10">
        <v>8.31</v>
      </c>
      <c r="F5" s="10">
        <v>8.0000000000000002E-3</v>
      </c>
      <c r="G5" s="10">
        <v>0</v>
      </c>
      <c r="H5" s="10">
        <v>8.0000000000000002E-3</v>
      </c>
      <c r="I5" s="10">
        <v>0</v>
      </c>
      <c r="J5" t="s">
        <v>1535</v>
      </c>
      <c r="L5" t="s">
        <v>1557</v>
      </c>
    </row>
    <row r="6" spans="1:14">
      <c r="C6" s="36" t="s">
        <v>17</v>
      </c>
      <c r="D6" s="47">
        <v>0</v>
      </c>
      <c r="E6" s="10">
        <v>7.9820000000000011</v>
      </c>
      <c r="F6" s="10">
        <v>0.61350000000000005</v>
      </c>
      <c r="G6" s="10">
        <v>0</v>
      </c>
      <c r="H6" s="10">
        <v>0</v>
      </c>
      <c r="I6" s="10">
        <v>9.5299999999999996E-2</v>
      </c>
      <c r="J6" t="s">
        <v>1535</v>
      </c>
    </row>
    <row r="7" spans="1:14">
      <c r="C7" s="36" t="s">
        <v>18</v>
      </c>
      <c r="D7" s="47">
        <v>0</v>
      </c>
      <c r="E7" s="10">
        <v>24.068111455108355</v>
      </c>
      <c r="F7" s="10">
        <v>0.88544891640866863</v>
      </c>
      <c r="G7" s="10">
        <v>8.0495356037151702E-2</v>
      </c>
      <c r="H7" s="10">
        <v>0.96594427244582004</v>
      </c>
      <c r="I7" s="10">
        <v>0</v>
      </c>
      <c r="J7" t="s">
        <v>1535</v>
      </c>
    </row>
    <row r="8" spans="1:14">
      <c r="C8" s="37" t="s">
        <v>27</v>
      </c>
      <c r="D8" s="218">
        <f>SUM(D5:D7)</f>
        <v>0</v>
      </c>
      <c r="E8" s="218">
        <f t="shared" ref="E8:I8" si="0">SUM(E5:E7)</f>
        <v>40.360111455108353</v>
      </c>
      <c r="F8" s="218">
        <f t="shared" si="0"/>
        <v>1.5069489164086687</v>
      </c>
      <c r="G8" s="218">
        <f t="shared" si="0"/>
        <v>8.0495356037151702E-2</v>
      </c>
      <c r="H8" s="218">
        <f t="shared" si="0"/>
        <v>0.97394427244582005</v>
      </c>
      <c r="I8" s="218">
        <f t="shared" si="0"/>
        <v>9.5299999999999996E-2</v>
      </c>
    </row>
    <row r="9" spans="1:14">
      <c r="C9" s="217"/>
      <c r="D9" s="10"/>
      <c r="E9" s="10"/>
      <c r="F9" s="10"/>
      <c r="G9" s="10"/>
      <c r="H9" s="10"/>
      <c r="I9" s="10"/>
    </row>
    <row r="10" spans="1:14">
      <c r="C10" s="33" t="s">
        <v>7</v>
      </c>
      <c r="D10" t="s">
        <v>38</v>
      </c>
    </row>
    <row r="11" spans="1:14">
      <c r="C11" s="23"/>
      <c r="D11" s="114" t="s">
        <v>39</v>
      </c>
      <c r="E11" s="114" t="s">
        <v>15</v>
      </c>
      <c r="F11" s="114" t="s">
        <v>16</v>
      </c>
      <c r="G11" s="114" t="s">
        <v>40</v>
      </c>
      <c r="H11" s="114" t="s">
        <v>32</v>
      </c>
      <c r="I11" s="114" t="s">
        <v>28</v>
      </c>
      <c r="J11" s="114" t="s">
        <v>29</v>
      </c>
      <c r="K11" s="114" t="s">
        <v>1556</v>
      </c>
    </row>
    <row r="12" spans="1:14">
      <c r="C12" s="36" t="s">
        <v>11</v>
      </c>
      <c r="D12" s="47">
        <v>26</v>
      </c>
      <c r="E12" s="47">
        <v>0.4</v>
      </c>
      <c r="F12" s="47">
        <v>3.1</v>
      </c>
      <c r="G12" s="47">
        <v>4.9000000000000004</v>
      </c>
      <c r="H12" s="47">
        <v>0.8</v>
      </c>
      <c r="I12" t="s">
        <v>1535</v>
      </c>
    </row>
    <row r="13" spans="1:14">
      <c r="C13" s="36" t="s">
        <v>14</v>
      </c>
      <c r="D13" s="47">
        <v>8.3000000000000007</v>
      </c>
      <c r="E13" s="47">
        <v>0</v>
      </c>
      <c r="F13" s="47">
        <v>1.6</v>
      </c>
      <c r="G13" s="47">
        <v>0</v>
      </c>
      <c r="H13" s="47">
        <v>0.8</v>
      </c>
      <c r="I13" t="s">
        <v>1535</v>
      </c>
    </row>
    <row r="14" spans="1:14">
      <c r="C14" s="36" t="s">
        <v>8</v>
      </c>
      <c r="D14" s="47">
        <v>2.29</v>
      </c>
      <c r="E14" s="47">
        <v>0.1</v>
      </c>
      <c r="F14" s="47">
        <v>0.64</v>
      </c>
      <c r="G14" s="47">
        <v>1.05</v>
      </c>
      <c r="H14" s="47">
        <v>0.1</v>
      </c>
      <c r="I14" t="s">
        <v>1535</v>
      </c>
      <c r="K14" t="s">
        <v>1558</v>
      </c>
    </row>
    <row r="15" spans="1:14">
      <c r="C15" s="36" t="s">
        <v>10</v>
      </c>
      <c r="D15" s="47">
        <v>2.2359999999999998</v>
      </c>
      <c r="E15" s="47">
        <v>8.5999999999999993E-2</v>
      </c>
      <c r="F15" s="47">
        <v>6.02</v>
      </c>
      <c r="G15" s="47">
        <v>0.25800000000000001</v>
      </c>
      <c r="H15" s="47">
        <v>0</v>
      </c>
      <c r="I15" t="s">
        <v>1535</v>
      </c>
    </row>
    <row r="16" spans="1:14">
      <c r="C16" s="36" t="s">
        <v>41</v>
      </c>
      <c r="D16" s="47">
        <v>0</v>
      </c>
      <c r="E16" s="47">
        <v>28.6</v>
      </c>
      <c r="F16" s="47">
        <v>14.9</v>
      </c>
      <c r="G16" s="47">
        <v>0</v>
      </c>
      <c r="H16" s="47">
        <v>0</v>
      </c>
      <c r="I16" t="s">
        <v>1535</v>
      </c>
    </row>
    <row r="17" spans="1:9">
      <c r="C17" s="37" t="s">
        <v>27</v>
      </c>
      <c r="D17" s="219">
        <f>SUM(D12:D16)</f>
        <v>38.825999999999993</v>
      </c>
      <c r="E17" s="219">
        <f t="shared" ref="E17:H17" si="1">SUM(E12:E16)</f>
        <v>29.186</v>
      </c>
      <c r="F17" s="219">
        <f t="shared" si="1"/>
        <v>26.259999999999998</v>
      </c>
      <c r="G17" s="219">
        <f t="shared" si="1"/>
        <v>6.2080000000000002</v>
      </c>
      <c r="H17" s="219">
        <f t="shared" si="1"/>
        <v>1.7000000000000002</v>
      </c>
      <c r="I17" s="47"/>
    </row>
    <row r="18" spans="1:9">
      <c r="C18" s="8"/>
      <c r="D18" s="47"/>
      <c r="E18" s="47"/>
      <c r="F18" s="47"/>
      <c r="G18" s="47"/>
      <c r="H18" s="47"/>
      <c r="I18" s="47"/>
    </row>
    <row r="20" spans="1:9" s="14" customFormat="1">
      <c r="A20" s="117"/>
      <c r="B20" s="8">
        <v>2</v>
      </c>
      <c r="C20" s="13" t="s">
        <v>1537</v>
      </c>
    </row>
    <row r="21" spans="1:9" s="117" customFormat="1">
      <c r="B21" s="8"/>
      <c r="C21" s="224" t="s">
        <v>49</v>
      </c>
      <c r="D21" s="224" t="s">
        <v>1531</v>
      </c>
    </row>
    <row r="22" spans="1:9">
      <c r="D22" s="220">
        <v>2019</v>
      </c>
      <c r="E22" s="220">
        <v>2020</v>
      </c>
      <c r="F22" s="220">
        <v>2021</v>
      </c>
      <c r="G22" s="220">
        <v>2022</v>
      </c>
      <c r="H22" s="220" t="s">
        <v>28</v>
      </c>
      <c r="I22" s="220" t="s">
        <v>29</v>
      </c>
    </row>
    <row r="23" spans="1:9">
      <c r="B23"/>
      <c r="C23" s="36" t="s">
        <v>20</v>
      </c>
      <c r="D23">
        <v>1.04</v>
      </c>
      <c r="E23">
        <v>0.57999999999999996</v>
      </c>
      <c r="F23">
        <v>0.67</v>
      </c>
      <c r="G23">
        <v>0.78</v>
      </c>
      <c r="H23" t="s">
        <v>51</v>
      </c>
      <c r="I23" t="s">
        <v>66</v>
      </c>
    </row>
    <row r="24" spans="1:9">
      <c r="B24" s="15"/>
      <c r="C24" s="36" t="s">
        <v>17</v>
      </c>
      <c r="D24" t="s">
        <v>67</v>
      </c>
      <c r="E24" t="s">
        <v>67</v>
      </c>
      <c r="F24" t="s">
        <v>67</v>
      </c>
      <c r="G24" t="s">
        <v>67</v>
      </c>
      <c r="H24" t="s">
        <v>67</v>
      </c>
    </row>
    <row r="25" spans="1:9">
      <c r="B25"/>
      <c r="C25" s="36" t="s">
        <v>18</v>
      </c>
      <c r="D25" s="10">
        <v>1.7869999999999999</v>
      </c>
      <c r="E25" s="10">
        <v>1.6559999999999999</v>
      </c>
      <c r="F25" s="10">
        <v>1.7869999999999999</v>
      </c>
      <c r="G25" s="10">
        <v>1.83</v>
      </c>
      <c r="H25" t="s">
        <v>51</v>
      </c>
      <c r="I25" t="s">
        <v>66</v>
      </c>
    </row>
    <row r="26" spans="1:9">
      <c r="B26"/>
      <c r="C26" s="36" t="s">
        <v>11</v>
      </c>
      <c r="D26" t="s">
        <v>67</v>
      </c>
      <c r="E26" t="s">
        <v>67</v>
      </c>
      <c r="F26" t="s">
        <v>67</v>
      </c>
      <c r="G26" t="s">
        <v>67</v>
      </c>
      <c r="H26" t="s">
        <v>67</v>
      </c>
    </row>
    <row r="27" spans="1:9">
      <c r="B27" s="232"/>
      <c r="C27" s="36" t="s">
        <v>14</v>
      </c>
      <c r="D27" s="10">
        <v>2.4350000000000001</v>
      </c>
      <c r="E27" s="10">
        <v>2.4350000000000001</v>
      </c>
      <c r="F27" s="10">
        <v>2.5249999999999999</v>
      </c>
      <c r="G27" s="10">
        <v>2.4279999999999999</v>
      </c>
      <c r="H27" t="s">
        <v>51</v>
      </c>
      <c r="I27" s="15" t="s">
        <v>1532</v>
      </c>
    </row>
    <row r="28" spans="1:9">
      <c r="B28" s="232"/>
      <c r="C28" s="36" t="s">
        <v>8</v>
      </c>
      <c r="D28" s="10">
        <v>1.131</v>
      </c>
      <c r="E28" s="10">
        <v>1.159</v>
      </c>
      <c r="F28" s="10">
        <v>1.175</v>
      </c>
      <c r="G28" s="10" t="s">
        <v>67</v>
      </c>
      <c r="H28" t="s">
        <v>51</v>
      </c>
      <c r="I28" t="s">
        <v>1533</v>
      </c>
    </row>
    <row r="29" spans="1:9">
      <c r="B29" s="232"/>
      <c r="C29" s="36" t="s">
        <v>10</v>
      </c>
      <c r="D29" s="10">
        <v>0.41356999999999999</v>
      </c>
      <c r="E29" s="10">
        <v>0.42155999999999999</v>
      </c>
      <c r="F29" s="10">
        <v>0.41807</v>
      </c>
      <c r="G29" s="10">
        <v>0.41980000000000001</v>
      </c>
      <c r="H29" t="s">
        <v>51</v>
      </c>
      <c r="I29" t="s">
        <v>1534</v>
      </c>
    </row>
    <row r="30" spans="1:9">
      <c r="B30"/>
      <c r="C30" s="11" t="s">
        <v>49</v>
      </c>
      <c r="D30" s="11" t="s">
        <v>64</v>
      </c>
    </row>
    <row r="31" spans="1:9">
      <c r="B31"/>
      <c r="C31" s="36" t="s">
        <v>15</v>
      </c>
      <c r="D31">
        <v>48.3</v>
      </c>
      <c r="E31">
        <v>43.5</v>
      </c>
      <c r="F31">
        <v>44.4</v>
      </c>
      <c r="G31">
        <v>45.5</v>
      </c>
      <c r="H31" t="s">
        <v>51</v>
      </c>
      <c r="I31" t="s">
        <v>65</v>
      </c>
    </row>
    <row r="32" spans="1:9">
      <c r="B32" s="15"/>
      <c r="C32" s="36" t="s">
        <v>26</v>
      </c>
      <c r="D32">
        <v>37.200000000000003</v>
      </c>
      <c r="E32">
        <v>35.9</v>
      </c>
      <c r="F32">
        <v>37.200000000000003</v>
      </c>
      <c r="G32">
        <v>36.700000000000003</v>
      </c>
      <c r="H32" t="s">
        <v>51</v>
      </c>
      <c r="I32" t="s">
        <v>65</v>
      </c>
    </row>
    <row r="34" spans="1:14" s="14" customFormat="1">
      <c r="A34"/>
      <c r="B34" s="8">
        <v>3</v>
      </c>
      <c r="C34" s="13" t="s">
        <v>1536</v>
      </c>
    </row>
    <row r="35" spans="1:14">
      <c r="C35" s="11" t="s">
        <v>49</v>
      </c>
      <c r="D35" t="s">
        <v>1539</v>
      </c>
    </row>
    <row r="36" spans="1:14">
      <c r="C36" s="221"/>
      <c r="D36" s="19">
        <v>2019</v>
      </c>
      <c r="E36" s="226">
        <v>2020</v>
      </c>
      <c r="F36" s="226">
        <v>2021</v>
      </c>
      <c r="G36" s="226">
        <v>2022</v>
      </c>
      <c r="H36" s="19" t="s">
        <v>28</v>
      </c>
      <c r="I36" s="19" t="s">
        <v>29</v>
      </c>
      <c r="J36" s="3"/>
    </row>
    <row r="37" spans="1:14">
      <c r="C37" s="36" t="s">
        <v>20</v>
      </c>
      <c r="D37" s="10">
        <v>0.11979778979543851</v>
      </c>
      <c r="E37" s="10">
        <v>0.1134453781512605</v>
      </c>
      <c r="F37" s="10">
        <v>0.48602941176470588</v>
      </c>
      <c r="G37" s="10">
        <v>0.22936576889661164</v>
      </c>
      <c r="H37" t="s">
        <v>51</v>
      </c>
      <c r="I37" t="s">
        <v>66</v>
      </c>
    </row>
    <row r="38" spans="1:14">
      <c r="C38" s="36" t="s">
        <v>17</v>
      </c>
      <c r="D38" s="10" t="s">
        <v>67</v>
      </c>
      <c r="E38" s="10" t="s">
        <v>67</v>
      </c>
      <c r="F38" s="10" t="s">
        <v>67</v>
      </c>
      <c r="G38" s="10" t="s">
        <v>67</v>
      </c>
    </row>
    <row r="39" spans="1:14">
      <c r="C39" s="36" t="s">
        <v>18</v>
      </c>
      <c r="D39" s="10">
        <v>109.31090642867269</v>
      </c>
      <c r="E39" s="10">
        <v>105.63187934519283</v>
      </c>
      <c r="F39" s="10">
        <v>95.080883358476456</v>
      </c>
      <c r="G39" s="10">
        <v>94.366300606662818</v>
      </c>
      <c r="H39" t="s">
        <v>51</v>
      </c>
      <c r="I39" t="s">
        <v>66</v>
      </c>
    </row>
    <row r="40" spans="1:14">
      <c r="C40" s="11" t="s">
        <v>49</v>
      </c>
      <c r="D40" s="225" t="s">
        <v>1538</v>
      </c>
      <c r="E40" s="10"/>
      <c r="F40" s="10"/>
      <c r="G40" s="10"/>
    </row>
    <row r="41" spans="1:14">
      <c r="C41" s="36" t="s">
        <v>11</v>
      </c>
      <c r="D41" s="10">
        <v>1.46</v>
      </c>
      <c r="E41" s="10">
        <v>1.42</v>
      </c>
      <c r="F41" s="10">
        <v>1.4</v>
      </c>
      <c r="G41" s="10">
        <v>1.41</v>
      </c>
      <c r="H41" t="s">
        <v>51</v>
      </c>
      <c r="I41" t="s">
        <v>1540</v>
      </c>
    </row>
    <row r="42" spans="1:14">
      <c r="C42" s="36" t="s">
        <v>14</v>
      </c>
      <c r="D42" s="10">
        <v>0.57999999999999996</v>
      </c>
      <c r="E42" s="10">
        <v>0.57999999999999996</v>
      </c>
      <c r="F42" s="10">
        <v>0.57999999999999996</v>
      </c>
      <c r="G42" s="10">
        <v>0.57999999999999996</v>
      </c>
      <c r="H42" t="s">
        <v>51</v>
      </c>
      <c r="I42" t="s">
        <v>1532</v>
      </c>
    </row>
    <row r="43" spans="1:14">
      <c r="C43" s="36" t="s">
        <v>10</v>
      </c>
      <c r="D43" s="10">
        <v>1.3</v>
      </c>
      <c r="E43" s="10">
        <v>1.31</v>
      </c>
      <c r="F43" s="10">
        <v>1.3</v>
      </c>
      <c r="G43" s="10">
        <v>1.3</v>
      </c>
      <c r="H43" t="s">
        <v>51</v>
      </c>
      <c r="I43" t="s">
        <v>1534</v>
      </c>
    </row>
    <row r="44" spans="1:14">
      <c r="C44" s="11" t="s">
        <v>49</v>
      </c>
      <c r="D44" s="225" t="s">
        <v>64</v>
      </c>
      <c r="E44" s="10"/>
      <c r="F44" s="10"/>
      <c r="G44" s="10"/>
    </row>
    <row r="45" spans="1:14">
      <c r="C45" s="36" t="s">
        <v>41</v>
      </c>
      <c r="D45" t="s">
        <v>67</v>
      </c>
      <c r="E45" s="122" t="s">
        <v>67</v>
      </c>
      <c r="F45" s="122" t="s">
        <v>67</v>
      </c>
      <c r="G45" s="122" t="s">
        <v>67</v>
      </c>
    </row>
    <row r="46" spans="1:14">
      <c r="C46" s="11" t="s">
        <v>49</v>
      </c>
      <c r="D46" s="11" t="s">
        <v>1559</v>
      </c>
      <c r="E46" s="122"/>
      <c r="F46" s="122"/>
      <c r="G46" s="122"/>
    </row>
    <row r="47" spans="1:14">
      <c r="C47" s="36" t="s">
        <v>8</v>
      </c>
      <c r="D47" s="10">
        <v>85.1</v>
      </c>
      <c r="E47" s="10">
        <v>84.7</v>
      </c>
      <c r="F47" s="10">
        <v>83.3</v>
      </c>
      <c r="G47" s="10">
        <v>82.6</v>
      </c>
      <c r="H47" t="s">
        <v>51</v>
      </c>
      <c r="I47" t="s">
        <v>1533</v>
      </c>
      <c r="N47" t="s">
        <v>1560</v>
      </c>
    </row>
    <row r="49" spans="1:9" s="13" customFormat="1">
      <c r="A49" s="222"/>
      <c r="B49" s="222">
        <v>4</v>
      </c>
      <c r="C49" s="13" t="s">
        <v>1541</v>
      </c>
    </row>
    <row r="50" spans="1:9">
      <c r="C50" s="11" t="s">
        <v>49</v>
      </c>
      <c r="D50" t="s">
        <v>1539</v>
      </c>
    </row>
    <row r="51" spans="1:9">
      <c r="C51" s="19"/>
      <c r="D51" s="19">
        <v>2021</v>
      </c>
      <c r="E51" s="19" t="s">
        <v>21</v>
      </c>
      <c r="F51" s="19" t="s">
        <v>63</v>
      </c>
      <c r="G51" s="19" t="s">
        <v>1542</v>
      </c>
      <c r="H51" s="19" t="s">
        <v>28</v>
      </c>
      <c r="I51" s="19" t="s">
        <v>29</v>
      </c>
    </row>
    <row r="52" spans="1:9">
      <c r="C52" s="36" t="s">
        <v>20</v>
      </c>
      <c r="D52" s="187">
        <v>5.9509999999999996</v>
      </c>
      <c r="E52" s="188">
        <v>15</v>
      </c>
      <c r="F52" s="188">
        <v>25</v>
      </c>
      <c r="G52" s="12">
        <f>(E52-D52)/D52</f>
        <v>1.5205847756679549</v>
      </c>
      <c r="H52" t="s">
        <v>1535</v>
      </c>
    </row>
    <row r="53" spans="1:9">
      <c r="C53" s="36" t="s">
        <v>17</v>
      </c>
      <c r="D53">
        <v>58.988</v>
      </c>
      <c r="E53">
        <v>114.78700000000001</v>
      </c>
      <c r="F53">
        <v>94.245000000000005</v>
      </c>
      <c r="G53" s="12">
        <f>(E53-D53)/D53</f>
        <v>0.94593815691327066</v>
      </c>
      <c r="H53" t="s">
        <v>1535</v>
      </c>
    </row>
    <row r="54" spans="1:9">
      <c r="C54" s="36" t="s">
        <v>18</v>
      </c>
      <c r="D54" s="10">
        <v>25.760999999999999</v>
      </c>
      <c r="E54" s="10">
        <v>60</v>
      </c>
      <c r="F54">
        <v>59.99</v>
      </c>
      <c r="G54" s="12">
        <f>(E54-D54)/D54</f>
        <v>1.3291021311284501</v>
      </c>
      <c r="H54" t="s">
        <v>1535</v>
      </c>
    </row>
    <row r="55" spans="1:9">
      <c r="C55" s="11" t="s">
        <v>49</v>
      </c>
      <c r="D55" s="10" t="s">
        <v>61</v>
      </c>
      <c r="E55" s="10"/>
      <c r="G55" s="227"/>
    </row>
    <row r="56" spans="1:9">
      <c r="C56" s="36" t="s">
        <v>11</v>
      </c>
      <c r="D56" s="21">
        <v>1878</v>
      </c>
      <c r="E56" s="21">
        <v>2547</v>
      </c>
      <c r="F56" s="21">
        <v>1509</v>
      </c>
      <c r="G56" s="12">
        <f t="shared" ref="G56:G59" si="2">(E56-D56)/D56</f>
        <v>0.35623003194888181</v>
      </c>
      <c r="H56" t="s">
        <v>1535</v>
      </c>
    </row>
    <row r="57" spans="1:9">
      <c r="C57" s="36" t="s">
        <v>14</v>
      </c>
      <c r="D57" s="21">
        <v>4100</v>
      </c>
      <c r="E57" s="21">
        <v>6100</v>
      </c>
      <c r="F57" s="21">
        <v>4032</v>
      </c>
      <c r="G57" s="12">
        <f t="shared" si="2"/>
        <v>0.48780487804878048</v>
      </c>
      <c r="H57" t="s">
        <v>1535</v>
      </c>
    </row>
    <row r="58" spans="1:9">
      <c r="C58" s="36" t="s">
        <v>8</v>
      </c>
      <c r="D58" s="40">
        <v>103.12479746835442</v>
      </c>
      <c r="E58">
        <v>171</v>
      </c>
      <c r="F58">
        <v>150</v>
      </c>
      <c r="G58" s="12">
        <f t="shared" si="2"/>
        <v>0.65818507476316968</v>
      </c>
      <c r="H58" t="s">
        <v>1535</v>
      </c>
    </row>
    <row r="59" spans="1:9">
      <c r="C59" s="36" t="s">
        <v>10</v>
      </c>
      <c r="D59" s="21">
        <v>185</v>
      </c>
      <c r="E59" s="21">
        <v>253</v>
      </c>
      <c r="F59" s="21">
        <v>228</v>
      </c>
      <c r="G59" s="12">
        <f t="shared" si="2"/>
        <v>0.36756756756756759</v>
      </c>
      <c r="H59" t="s">
        <v>1535</v>
      </c>
    </row>
    <row r="60" spans="1:9">
      <c r="C60" s="11" t="s">
        <v>49</v>
      </c>
      <c r="D60" t="s">
        <v>1543</v>
      </c>
      <c r="G60" s="12"/>
    </row>
    <row r="61" spans="1:9">
      <c r="C61" s="36" t="s">
        <v>41</v>
      </c>
      <c r="D61" s="16">
        <v>490.85</v>
      </c>
      <c r="E61" s="16">
        <v>524.1</v>
      </c>
      <c r="F61" s="16">
        <v>134.80000000000001</v>
      </c>
      <c r="G61" s="12">
        <f>(E61-D61)/D61</f>
        <v>6.7739635326474479E-2</v>
      </c>
      <c r="H61" t="s">
        <v>1535</v>
      </c>
    </row>
    <row r="63" spans="1:9" s="14" customFormat="1">
      <c r="A63" s="223"/>
      <c r="B63" s="222">
        <v>5</v>
      </c>
      <c r="C63" s="13" t="s">
        <v>1544</v>
      </c>
    </row>
    <row r="64" spans="1:9" s="117" customFormat="1">
      <c r="A64" s="223"/>
      <c r="B64" s="222"/>
      <c r="C64" s="11" t="s">
        <v>49</v>
      </c>
      <c r="D64" s="11" t="s">
        <v>1545</v>
      </c>
    </row>
    <row r="65" spans="1:10">
      <c r="C65" s="8"/>
      <c r="D65" s="19" t="s">
        <v>45</v>
      </c>
      <c r="E65" s="19" t="s">
        <v>46</v>
      </c>
      <c r="F65" s="19" t="s">
        <v>80</v>
      </c>
      <c r="G65" s="19" t="s">
        <v>59</v>
      </c>
      <c r="H65" s="19" t="s">
        <v>60</v>
      </c>
      <c r="I65" s="19" t="s">
        <v>28</v>
      </c>
      <c r="J65" s="19" t="s">
        <v>29</v>
      </c>
    </row>
    <row r="66" spans="1:10">
      <c r="C66" s="36" t="s">
        <v>20</v>
      </c>
      <c r="D66">
        <v>0</v>
      </c>
      <c r="E66">
        <v>1092.5</v>
      </c>
      <c r="F66">
        <v>86</v>
      </c>
      <c r="G66">
        <v>260</v>
      </c>
      <c r="H66">
        <v>0</v>
      </c>
      <c r="I66" t="s">
        <v>1546</v>
      </c>
    </row>
    <row r="67" spans="1:10">
      <c r="C67" s="36" t="s">
        <v>17</v>
      </c>
      <c r="D67">
        <v>0</v>
      </c>
      <c r="E67">
        <v>519.79999999999995</v>
      </c>
      <c r="F67">
        <v>10</v>
      </c>
      <c r="G67">
        <v>23</v>
      </c>
      <c r="H67">
        <v>41</v>
      </c>
      <c r="I67" t="s">
        <v>1546</v>
      </c>
    </row>
    <row r="68" spans="1:10">
      <c r="C68" s="36" t="s">
        <v>18</v>
      </c>
      <c r="D68">
        <v>1165</v>
      </c>
      <c r="E68">
        <v>610.20000000000005</v>
      </c>
      <c r="F68">
        <v>0</v>
      </c>
      <c r="G68">
        <v>0</v>
      </c>
      <c r="H68">
        <v>1348</v>
      </c>
      <c r="I68" t="s">
        <v>1546</v>
      </c>
    </row>
    <row r="69" spans="1:10">
      <c r="C69" s="36" t="s">
        <v>11</v>
      </c>
      <c r="D69">
        <v>1432</v>
      </c>
      <c r="E69">
        <v>839</v>
      </c>
      <c r="F69">
        <v>132</v>
      </c>
      <c r="G69">
        <v>0</v>
      </c>
      <c r="H69">
        <v>0</v>
      </c>
      <c r="I69" t="s">
        <v>1546</v>
      </c>
    </row>
    <row r="70" spans="1:10">
      <c r="C70" s="36" t="s">
        <v>14</v>
      </c>
      <c r="D70">
        <v>0</v>
      </c>
      <c r="E70">
        <v>136</v>
      </c>
      <c r="F70">
        <v>240</v>
      </c>
      <c r="G70">
        <v>0</v>
      </c>
      <c r="H70">
        <v>0</v>
      </c>
      <c r="I70" t="s">
        <v>1546</v>
      </c>
    </row>
    <row r="71" spans="1:10">
      <c r="C71" s="36" t="s">
        <v>8</v>
      </c>
      <c r="D71">
        <v>421</v>
      </c>
      <c r="E71">
        <v>112</v>
      </c>
      <c r="F71">
        <v>15</v>
      </c>
      <c r="G71">
        <v>0</v>
      </c>
      <c r="H71">
        <v>0</v>
      </c>
      <c r="I71" t="s">
        <v>1546</v>
      </c>
    </row>
    <row r="72" spans="1:10">
      <c r="C72" s="36" t="s">
        <v>10</v>
      </c>
      <c r="D72">
        <v>2270</v>
      </c>
      <c r="E72">
        <v>0</v>
      </c>
      <c r="F72">
        <v>47</v>
      </c>
      <c r="G72">
        <v>0</v>
      </c>
      <c r="H72">
        <v>0</v>
      </c>
      <c r="I72" t="s">
        <v>1546</v>
      </c>
    </row>
    <row r="73" spans="1:10">
      <c r="C73" s="36" t="s">
        <v>15</v>
      </c>
      <c r="D73">
        <v>31.7</v>
      </c>
      <c r="E73">
        <v>91</v>
      </c>
      <c r="F73">
        <v>29</v>
      </c>
      <c r="G73">
        <v>0</v>
      </c>
      <c r="H73">
        <v>0</v>
      </c>
      <c r="I73" t="s">
        <v>1546</v>
      </c>
    </row>
    <row r="74" spans="1:10">
      <c r="C74" s="36" t="s">
        <v>68</v>
      </c>
      <c r="D74">
        <v>87</v>
      </c>
      <c r="E74">
        <v>0</v>
      </c>
      <c r="F74">
        <v>38</v>
      </c>
      <c r="G74">
        <v>0</v>
      </c>
      <c r="H74">
        <v>0</v>
      </c>
      <c r="I74" t="s">
        <v>1546</v>
      </c>
    </row>
    <row r="75" spans="1:10">
      <c r="C75" s="37" t="s">
        <v>69</v>
      </c>
      <c r="D75" s="231">
        <f>SUM(D66:D74)</f>
        <v>5406.7</v>
      </c>
      <c r="E75" s="231">
        <f t="shared" ref="E75:H75" si="3">SUM(E66:E74)</f>
        <v>3400.5</v>
      </c>
      <c r="F75" s="231">
        <f t="shared" si="3"/>
        <v>597</v>
      </c>
      <c r="G75" s="231">
        <f t="shared" si="3"/>
        <v>283</v>
      </c>
      <c r="H75" s="231">
        <f t="shared" si="3"/>
        <v>1389</v>
      </c>
    </row>
    <row r="77" spans="1:10" s="18" customFormat="1">
      <c r="A77" s="144"/>
      <c r="B77" s="217">
        <v>6</v>
      </c>
      <c r="C77" s="14" t="s">
        <v>1547</v>
      </c>
    </row>
    <row r="78" spans="1:10">
      <c r="C78" s="11" t="s">
        <v>49</v>
      </c>
      <c r="D78" t="s">
        <v>1548</v>
      </c>
    </row>
    <row r="79" spans="1:10">
      <c r="D79" s="19" t="s">
        <v>100</v>
      </c>
      <c r="E79" s="19" t="s">
        <v>101</v>
      </c>
      <c r="F79" s="19" t="s">
        <v>28</v>
      </c>
      <c r="G79" s="19" t="s">
        <v>29</v>
      </c>
    </row>
    <row r="80" spans="1:10">
      <c r="C80" s="36" t="s">
        <v>20</v>
      </c>
      <c r="D80">
        <v>350</v>
      </c>
      <c r="E80">
        <v>15</v>
      </c>
      <c r="F80" t="s">
        <v>1546</v>
      </c>
    </row>
    <row r="81" spans="1:7">
      <c r="C81" s="36" t="s">
        <v>17</v>
      </c>
      <c r="D81">
        <v>50</v>
      </c>
      <c r="E81">
        <v>2</v>
      </c>
      <c r="F81" t="s">
        <v>1546</v>
      </c>
    </row>
    <row r="82" spans="1:7">
      <c r="C82" s="36" t="s">
        <v>18</v>
      </c>
      <c r="D82">
        <v>142</v>
      </c>
      <c r="E82">
        <v>2</v>
      </c>
      <c r="F82" t="s">
        <v>1546</v>
      </c>
    </row>
    <row r="83" spans="1:7">
      <c r="C83" s="36" t="s">
        <v>11</v>
      </c>
      <c r="D83">
        <v>57</v>
      </c>
      <c r="E83">
        <v>0.5</v>
      </c>
      <c r="F83" t="s">
        <v>1546</v>
      </c>
    </row>
    <row r="84" spans="1:7">
      <c r="C84" s="36" t="s">
        <v>14</v>
      </c>
      <c r="D84">
        <v>80</v>
      </c>
      <c r="E84">
        <v>3</v>
      </c>
      <c r="F84" t="s">
        <v>1546</v>
      </c>
    </row>
    <row r="85" spans="1:7">
      <c r="C85" s="36" t="s">
        <v>8</v>
      </c>
      <c r="D85">
        <v>38</v>
      </c>
      <c r="E85">
        <v>0.5</v>
      </c>
      <c r="F85" t="s">
        <v>1546</v>
      </c>
    </row>
    <row r="86" spans="1:7">
      <c r="C86" s="36" t="s">
        <v>10</v>
      </c>
      <c r="D86">
        <v>80</v>
      </c>
      <c r="E86">
        <v>30</v>
      </c>
      <c r="F86" t="s">
        <v>1546</v>
      </c>
    </row>
    <row r="87" spans="1:7">
      <c r="C87" s="36" t="s">
        <v>15</v>
      </c>
      <c r="D87">
        <v>10</v>
      </c>
      <c r="E87">
        <v>6</v>
      </c>
      <c r="F87" t="s">
        <v>1546</v>
      </c>
    </row>
    <row r="88" spans="1:7">
      <c r="C88" s="36" t="s">
        <v>68</v>
      </c>
      <c r="D88">
        <v>7</v>
      </c>
      <c r="E88">
        <v>3</v>
      </c>
      <c r="F88" t="s">
        <v>1546</v>
      </c>
    </row>
    <row r="91" spans="1:7" s="18" customFormat="1">
      <c r="A91"/>
      <c r="B91" s="8">
        <v>7</v>
      </c>
      <c r="C91" s="13" t="s">
        <v>1549</v>
      </c>
    </row>
    <row r="92" spans="1:7" s="144" customFormat="1">
      <c r="B92" s="217"/>
      <c r="C92" s="228" t="s">
        <v>1551</v>
      </c>
      <c r="D92" s="144" t="s">
        <v>1552</v>
      </c>
    </row>
    <row r="93" spans="1:7">
      <c r="D93" s="19" t="s">
        <v>116</v>
      </c>
      <c r="E93" s="19" t="s">
        <v>117</v>
      </c>
      <c r="F93" s="19" t="s">
        <v>28</v>
      </c>
      <c r="G93" s="19" t="s">
        <v>29</v>
      </c>
    </row>
    <row r="94" spans="1:7">
      <c r="C94" s="36" t="s">
        <v>20</v>
      </c>
      <c r="D94">
        <v>185</v>
      </c>
      <c r="E94">
        <v>78</v>
      </c>
      <c r="F94" t="s">
        <v>1553</v>
      </c>
    </row>
    <row r="95" spans="1:7">
      <c r="C95" s="36" t="s">
        <v>17</v>
      </c>
      <c r="D95">
        <v>17</v>
      </c>
      <c r="E95">
        <v>36</v>
      </c>
      <c r="F95" t="s">
        <v>1553</v>
      </c>
    </row>
    <row r="96" spans="1:7">
      <c r="C96" s="36" t="s">
        <v>18</v>
      </c>
      <c r="D96">
        <v>78</v>
      </c>
      <c r="E96">
        <v>18</v>
      </c>
      <c r="F96" t="s">
        <v>1553</v>
      </c>
    </row>
    <row r="97" spans="3:7">
      <c r="C97" s="36" t="s">
        <v>11</v>
      </c>
      <c r="D97">
        <v>17</v>
      </c>
      <c r="E97">
        <v>96</v>
      </c>
      <c r="F97" t="s">
        <v>1553</v>
      </c>
    </row>
    <row r="98" spans="3:7">
      <c r="C98" s="36" t="s">
        <v>14</v>
      </c>
      <c r="D98">
        <v>30</v>
      </c>
      <c r="E98">
        <v>42</v>
      </c>
      <c r="F98" t="s">
        <v>1553</v>
      </c>
    </row>
    <row r="99" spans="3:7">
      <c r="C99" s="36" t="s">
        <v>8</v>
      </c>
      <c r="D99">
        <v>7</v>
      </c>
      <c r="E99">
        <v>20</v>
      </c>
      <c r="F99" t="s">
        <v>1553</v>
      </c>
    </row>
    <row r="100" spans="3:7">
      <c r="C100" s="36" t="s">
        <v>10</v>
      </c>
      <c r="D100">
        <v>36</v>
      </c>
      <c r="E100">
        <v>23</v>
      </c>
      <c r="F100" t="s">
        <v>1553</v>
      </c>
    </row>
    <row r="101" spans="3:7">
      <c r="C101" s="229" t="s">
        <v>41</v>
      </c>
      <c r="D101" s="230">
        <v>32</v>
      </c>
      <c r="E101" s="230">
        <v>690</v>
      </c>
      <c r="F101" s="230" t="s">
        <v>1553</v>
      </c>
      <c r="G101" s="230"/>
    </row>
    <row r="102" spans="3:7">
      <c r="C102" s="36" t="s">
        <v>1550</v>
      </c>
      <c r="D102">
        <f>SUM(D94:D101)</f>
        <v>402</v>
      </c>
      <c r="E102">
        <f>SUM(E94:E101)</f>
        <v>1003</v>
      </c>
    </row>
  </sheetData>
  <mergeCells count="1">
    <mergeCell ref="B27:B29"/>
  </mergeCells>
  <hyperlinks>
    <hyperlink ref="I27" r:id="rId1" xr:uid="{80450901-CBA1-4F7F-88B6-2E9F192B534C}"/>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944A-3948-49A4-97EE-294F7586E944}">
  <sheetPr codeName="Sheet24">
    <tabColor theme="5" tint="-0.249977111117893"/>
  </sheetPr>
  <dimension ref="A1:J104"/>
  <sheetViews>
    <sheetView showGridLines="0" topLeftCell="A15" zoomScale="60" zoomScaleNormal="60" workbookViewId="0">
      <selection activeCell="G40" sqref="G40"/>
    </sheetView>
  </sheetViews>
  <sheetFormatPr baseColWidth="10" defaultColWidth="8.83203125" defaultRowHeight="15"/>
  <cols>
    <col min="2" max="2" width="48.83203125" style="21" customWidth="1"/>
    <col min="3" max="3" width="13.83203125" style="21" customWidth="1"/>
    <col min="4" max="4" width="17.5" style="21" customWidth="1"/>
    <col min="5" max="5" width="14.83203125" style="21" customWidth="1"/>
    <col min="6" max="6" width="11.5" style="21" customWidth="1"/>
    <col min="7" max="7" width="51.1640625" style="21" customWidth="1"/>
    <col min="8" max="9" width="22.5" style="21" customWidth="1"/>
  </cols>
  <sheetData>
    <row r="1" spans="1:9" s="1" customFormat="1">
      <c r="B1" s="2"/>
      <c r="C1" s="2"/>
      <c r="D1" s="2"/>
      <c r="E1" s="2"/>
      <c r="F1" s="2"/>
      <c r="G1" s="2"/>
      <c r="H1" s="2"/>
      <c r="I1" s="2"/>
    </row>
    <row r="2" spans="1:9" s="1" customFormat="1" ht="15" customHeight="1">
      <c r="B2" s="19" t="s">
        <v>371</v>
      </c>
      <c r="C2" s="43"/>
      <c r="D2" s="43"/>
      <c r="E2" s="2"/>
      <c r="F2" s="2"/>
      <c r="G2" s="2"/>
      <c r="H2" s="2"/>
      <c r="I2" s="2"/>
    </row>
    <row r="3" spans="1:9" s="1" customFormat="1" ht="15" customHeight="1">
      <c r="B3" s="19" t="s">
        <v>1477</v>
      </c>
      <c r="C3" s="43"/>
      <c r="D3" s="2"/>
      <c r="E3" s="2"/>
      <c r="F3" s="2"/>
      <c r="G3" s="2"/>
      <c r="H3" s="2"/>
      <c r="I3" s="2"/>
    </row>
    <row r="4" spans="1:9" s="4" customFormat="1" ht="15" customHeight="1" thickBot="1">
      <c r="B4" s="5"/>
      <c r="C4" s="5"/>
      <c r="D4" s="5"/>
      <c r="E4" s="5"/>
      <c r="F4" s="5"/>
      <c r="G4" s="5"/>
      <c r="H4" s="5"/>
      <c r="I4" s="5"/>
    </row>
    <row r="6" spans="1:9" ht="14.25" customHeight="1">
      <c r="B6" s="38"/>
    </row>
    <row r="7" spans="1:9">
      <c r="A7" s="9">
        <v>1</v>
      </c>
      <c r="B7" s="53" t="s">
        <v>71</v>
      </c>
      <c r="C7" s="35"/>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row>
    <row r="11" spans="1:9">
      <c r="B11" s="20" t="s">
        <v>109</v>
      </c>
      <c r="C11" s="93" t="s">
        <v>1191</v>
      </c>
      <c r="D11" s="27" t="s">
        <v>52</v>
      </c>
      <c r="E11" s="21" t="s">
        <v>1292</v>
      </c>
      <c r="F11" s="21">
        <v>2022</v>
      </c>
      <c r="G11" s="51" t="s">
        <v>1293</v>
      </c>
      <c r="I11" s="21" t="s">
        <v>208</v>
      </c>
    </row>
    <row r="12" spans="1:9">
      <c r="B12" s="20" t="s">
        <v>110</v>
      </c>
      <c r="C12" s="93" t="s">
        <v>1294</v>
      </c>
      <c r="D12" s="27" t="s">
        <v>52</v>
      </c>
      <c r="E12" s="21" t="s">
        <v>1292</v>
      </c>
      <c r="F12" s="21">
        <v>2022</v>
      </c>
      <c r="G12" s="21" t="s">
        <v>129</v>
      </c>
    </row>
    <row r="13" spans="1:9">
      <c r="B13" s="20" t="s">
        <v>1295</v>
      </c>
      <c r="C13" s="93" t="s">
        <v>556</v>
      </c>
      <c r="D13" s="27" t="s">
        <v>52</v>
      </c>
      <c r="E13" s="21" t="s">
        <v>1292</v>
      </c>
      <c r="F13" s="21">
        <v>2022</v>
      </c>
      <c r="G13" s="21" t="s">
        <v>129</v>
      </c>
    </row>
    <row r="14" spans="1:9">
      <c r="B14" s="20" t="s">
        <v>1296</v>
      </c>
      <c r="C14" s="93" t="s">
        <v>556</v>
      </c>
      <c r="D14" s="27" t="s">
        <v>52</v>
      </c>
      <c r="E14" s="21" t="s">
        <v>1292</v>
      </c>
      <c r="F14" s="21">
        <v>2022</v>
      </c>
      <c r="G14" s="51" t="s">
        <v>1297</v>
      </c>
      <c r="I14" s="21" t="s">
        <v>1298</v>
      </c>
    </row>
    <row r="15" spans="1:9">
      <c r="B15" s="20"/>
      <c r="D15" s="27"/>
    </row>
    <row r="16" spans="1:9">
      <c r="B16" s="25" t="s">
        <v>1195</v>
      </c>
    </row>
    <row r="17" spans="2:9">
      <c r="B17" s="20" t="s">
        <v>109</v>
      </c>
      <c r="C17" s="44">
        <v>0.84</v>
      </c>
      <c r="D17" s="21" t="s">
        <v>33</v>
      </c>
      <c r="E17" s="21" t="s">
        <v>1281</v>
      </c>
      <c r="F17" s="21">
        <v>2022</v>
      </c>
      <c r="G17" s="51" t="s">
        <v>1281</v>
      </c>
      <c r="I17" s="21" t="s">
        <v>1299</v>
      </c>
    </row>
    <row r="18" spans="2:9">
      <c r="B18" s="20" t="s">
        <v>110</v>
      </c>
      <c r="C18" s="44">
        <v>0.85</v>
      </c>
      <c r="D18" s="21" t="s">
        <v>33</v>
      </c>
      <c r="E18" s="21" t="s">
        <v>129</v>
      </c>
      <c r="F18" s="21">
        <v>2022</v>
      </c>
      <c r="G18" s="21" t="s">
        <v>129</v>
      </c>
      <c r="I18" s="21" t="s">
        <v>1299</v>
      </c>
    </row>
    <row r="19" spans="2:9">
      <c r="B19" s="20" t="s">
        <v>1295</v>
      </c>
      <c r="C19" s="44">
        <v>0.75</v>
      </c>
      <c r="D19" s="21" t="s">
        <v>33</v>
      </c>
      <c r="E19" s="21" t="s">
        <v>1300</v>
      </c>
      <c r="F19" s="21">
        <v>2015</v>
      </c>
      <c r="G19" s="51" t="s">
        <v>1301</v>
      </c>
    </row>
    <row r="20" spans="2:9">
      <c r="B20" s="20" t="s">
        <v>1296</v>
      </c>
      <c r="C20" s="44">
        <v>0.7</v>
      </c>
      <c r="D20" s="21" t="s">
        <v>33</v>
      </c>
      <c r="E20" s="21" t="s">
        <v>1300</v>
      </c>
      <c r="F20" s="21">
        <v>2015</v>
      </c>
      <c r="G20" s="21" t="s">
        <v>129</v>
      </c>
      <c r="I20" s="21" t="s">
        <v>1302</v>
      </c>
    </row>
    <row r="21" spans="2:9">
      <c r="B21" s="20"/>
    </row>
    <row r="22" spans="2:9">
      <c r="B22" s="25" t="s">
        <v>1303</v>
      </c>
    </row>
    <row r="23" spans="2:9">
      <c r="B23" s="20" t="s">
        <v>109</v>
      </c>
      <c r="C23" s="44" t="s">
        <v>1304</v>
      </c>
      <c r="D23" s="21" t="s">
        <v>33</v>
      </c>
      <c r="E23" s="21" t="s">
        <v>185</v>
      </c>
      <c r="F23" s="21">
        <v>2022</v>
      </c>
      <c r="G23" s="51" t="s">
        <v>185</v>
      </c>
    </row>
    <row r="24" spans="2:9">
      <c r="B24" s="20" t="s">
        <v>110</v>
      </c>
      <c r="C24" s="44" t="s">
        <v>1305</v>
      </c>
      <c r="D24" s="21" t="s">
        <v>33</v>
      </c>
      <c r="E24" s="21" t="s">
        <v>129</v>
      </c>
      <c r="F24" s="21">
        <v>2022</v>
      </c>
      <c r="G24" s="21" t="s">
        <v>129</v>
      </c>
    </row>
    <row r="25" spans="2:9">
      <c r="B25" s="20" t="s">
        <v>1295</v>
      </c>
      <c r="C25" s="44" t="s">
        <v>1306</v>
      </c>
      <c r="D25" s="21" t="s">
        <v>33</v>
      </c>
      <c r="E25" s="21" t="s">
        <v>1307</v>
      </c>
      <c r="F25" s="21">
        <v>2022</v>
      </c>
      <c r="G25" s="51" t="s">
        <v>1307</v>
      </c>
      <c r="I25" s="21" t="s">
        <v>1308</v>
      </c>
    </row>
    <row r="26" spans="2:9">
      <c r="B26" s="20" t="s">
        <v>1296</v>
      </c>
      <c r="C26" s="44" t="s">
        <v>1306</v>
      </c>
      <c r="D26" s="21" t="s">
        <v>33</v>
      </c>
      <c r="E26" s="21" t="s">
        <v>129</v>
      </c>
      <c r="F26" s="21">
        <v>2022</v>
      </c>
      <c r="G26" s="21" t="s">
        <v>129</v>
      </c>
      <c r="I26" s="21" t="s">
        <v>1309</v>
      </c>
    </row>
    <row r="27" spans="2:9">
      <c r="B27" s="25" t="s">
        <v>1512</v>
      </c>
    </row>
    <row r="28" spans="2:9">
      <c r="B28" s="20" t="s">
        <v>109</v>
      </c>
      <c r="C28" s="59"/>
      <c r="D28" s="44">
        <v>0.01</v>
      </c>
      <c r="F28" s="21">
        <v>2022</v>
      </c>
      <c r="G28" s="51"/>
    </row>
    <row r="29" spans="2:9">
      <c r="B29" s="20" t="s">
        <v>110</v>
      </c>
      <c r="C29" s="44"/>
      <c r="D29" s="27" t="s">
        <v>52</v>
      </c>
      <c r="E29" s="27" t="s">
        <v>52</v>
      </c>
      <c r="F29" s="21">
        <v>2022</v>
      </c>
      <c r="G29" s="27"/>
    </row>
    <row r="30" spans="2:9">
      <c r="B30" s="20" t="s">
        <v>1295</v>
      </c>
      <c r="C30" s="44"/>
      <c r="D30" s="27" t="s">
        <v>52</v>
      </c>
      <c r="E30" s="27" t="s">
        <v>52</v>
      </c>
      <c r="F30" s="21">
        <v>2022</v>
      </c>
      <c r="G30" s="27"/>
    </row>
    <row r="31" spans="2:9">
      <c r="B31" s="20" t="s">
        <v>1296</v>
      </c>
      <c r="C31" s="59"/>
      <c r="D31" s="27" t="s">
        <v>52</v>
      </c>
      <c r="E31" s="27" t="s">
        <v>52</v>
      </c>
      <c r="F31" s="21">
        <v>2022</v>
      </c>
      <c r="G31" s="27"/>
    </row>
    <row r="33" spans="1:9">
      <c r="A33" s="9">
        <v>2</v>
      </c>
      <c r="B33" s="53" t="s">
        <v>82</v>
      </c>
      <c r="C33" s="35"/>
      <c r="D33" s="35"/>
      <c r="E33" s="35"/>
      <c r="F33" s="35"/>
      <c r="G33" s="35"/>
      <c r="H33" s="35"/>
      <c r="I33" s="35"/>
    </row>
    <row r="34" spans="1:9">
      <c r="B34" s="24" t="s">
        <v>47</v>
      </c>
      <c r="C34" s="24" t="s">
        <v>48</v>
      </c>
      <c r="D34" s="24" t="s">
        <v>49</v>
      </c>
      <c r="E34" s="24" t="s">
        <v>28</v>
      </c>
      <c r="F34" s="24" t="s">
        <v>50</v>
      </c>
      <c r="G34" s="24" t="s">
        <v>29</v>
      </c>
      <c r="H34" s="24" t="s">
        <v>122</v>
      </c>
      <c r="I34" s="24" t="s">
        <v>123</v>
      </c>
    </row>
    <row r="36" spans="1:9">
      <c r="B36" s="25" t="s">
        <v>1310</v>
      </c>
      <c r="C36" s="21">
        <v>47.6</v>
      </c>
      <c r="D36" s="21" t="s">
        <v>1316</v>
      </c>
      <c r="E36" s="21" t="s">
        <v>185</v>
      </c>
      <c r="F36" s="21">
        <v>2022</v>
      </c>
      <c r="G36" s="51" t="s">
        <v>185</v>
      </c>
      <c r="H36" s="21" t="s">
        <v>1311</v>
      </c>
    </row>
    <row r="37" spans="1:9">
      <c r="B37" s="20" t="s">
        <v>109</v>
      </c>
      <c r="C37" s="44">
        <v>0.56999999999999995</v>
      </c>
      <c r="D37" s="21" t="s">
        <v>33</v>
      </c>
      <c r="E37" s="21" t="s">
        <v>129</v>
      </c>
      <c r="F37" s="21">
        <v>2022</v>
      </c>
      <c r="G37" s="21" t="s">
        <v>129</v>
      </c>
      <c r="H37" s="21" t="s">
        <v>129</v>
      </c>
      <c r="I37" s="21" t="s">
        <v>1312</v>
      </c>
    </row>
    <row r="38" spans="1:9">
      <c r="B38" s="20" t="s">
        <v>110</v>
      </c>
      <c r="C38" s="44">
        <v>0.43</v>
      </c>
      <c r="D38" s="21" t="s">
        <v>33</v>
      </c>
      <c r="E38" s="21" t="s">
        <v>129</v>
      </c>
      <c r="F38" s="21">
        <v>2022</v>
      </c>
      <c r="G38" s="21" t="s">
        <v>129</v>
      </c>
      <c r="H38" s="21" t="s">
        <v>129</v>
      </c>
      <c r="I38" s="21" t="s">
        <v>1312</v>
      </c>
    </row>
    <row r="39" spans="1:9">
      <c r="B39" s="20" t="s">
        <v>1295</v>
      </c>
      <c r="C39" s="44">
        <v>0</v>
      </c>
      <c r="D39" s="21" t="s">
        <v>33</v>
      </c>
      <c r="E39" s="21" t="s">
        <v>129</v>
      </c>
      <c r="F39" s="21">
        <v>2022</v>
      </c>
      <c r="G39" s="21" t="s">
        <v>129</v>
      </c>
      <c r="H39" s="21" t="s">
        <v>129</v>
      </c>
      <c r="I39" s="21" t="s">
        <v>1312</v>
      </c>
    </row>
    <row r="40" spans="1:9">
      <c r="B40" s="20" t="s">
        <v>1296</v>
      </c>
      <c r="C40" s="44">
        <v>0</v>
      </c>
      <c r="D40" s="21" t="s">
        <v>33</v>
      </c>
      <c r="E40" s="21" t="s">
        <v>129</v>
      </c>
      <c r="F40" s="21">
        <v>2022</v>
      </c>
      <c r="G40" s="21" t="s">
        <v>129</v>
      </c>
      <c r="H40" s="21" t="s">
        <v>129</v>
      </c>
      <c r="I40" s="21" t="s">
        <v>1312</v>
      </c>
    </row>
    <row r="42" spans="1:9">
      <c r="B42" s="25" t="s">
        <v>254</v>
      </c>
    </row>
    <row r="43" spans="1:9">
      <c r="B43" s="40" t="s">
        <v>1211</v>
      </c>
      <c r="C43" s="55">
        <f>C44/365/24*1000/0.32</f>
        <v>677.79680365296804</v>
      </c>
      <c r="D43" s="21" t="s">
        <v>43</v>
      </c>
    </row>
    <row r="44" spans="1:9">
      <c r="B44" s="40" t="s">
        <v>1211</v>
      </c>
      <c r="C44" s="56">
        <v>1900</v>
      </c>
      <c r="D44" s="21" t="s">
        <v>446</v>
      </c>
      <c r="E44" s="21" t="s">
        <v>185</v>
      </c>
      <c r="F44" s="21">
        <v>2022</v>
      </c>
      <c r="G44" s="51" t="s">
        <v>185</v>
      </c>
      <c r="H44" s="27" t="s">
        <v>1313</v>
      </c>
      <c r="I44" s="21" t="s">
        <v>1312</v>
      </c>
    </row>
    <row r="45" spans="1:9">
      <c r="B45" s="40" t="s">
        <v>258</v>
      </c>
      <c r="C45" s="46">
        <v>1.95</v>
      </c>
      <c r="D45" s="40" t="s">
        <v>259</v>
      </c>
      <c r="E45" s="21" t="s">
        <v>260</v>
      </c>
      <c r="F45" s="21">
        <v>2021</v>
      </c>
      <c r="G45" s="51" t="s">
        <v>261</v>
      </c>
      <c r="H45" s="21" t="s">
        <v>262</v>
      </c>
      <c r="I45" s="21" t="s">
        <v>1215</v>
      </c>
    </row>
    <row r="46" spans="1:9">
      <c r="B46" s="29" t="s">
        <v>264</v>
      </c>
      <c r="C46" s="84" t="s">
        <v>52</v>
      </c>
      <c r="D46" s="40" t="s">
        <v>33</v>
      </c>
      <c r="E46" s="21" t="s">
        <v>51</v>
      </c>
      <c r="F46" s="21">
        <v>2022</v>
      </c>
      <c r="G46" s="51" t="s">
        <v>19</v>
      </c>
      <c r="H46" s="21" t="s">
        <v>265</v>
      </c>
    </row>
    <row r="47" spans="1:9">
      <c r="B47" s="20" t="s">
        <v>266</v>
      </c>
      <c r="C47" s="21">
        <v>4.5</v>
      </c>
      <c r="D47" s="21" t="s">
        <v>267</v>
      </c>
      <c r="E47" s="21" t="s">
        <v>268</v>
      </c>
      <c r="F47" s="21">
        <v>2020</v>
      </c>
      <c r="G47" s="51" t="s">
        <v>269</v>
      </c>
      <c r="H47" s="21" t="s">
        <v>270</v>
      </c>
      <c r="I47" s="21" t="s">
        <v>271</v>
      </c>
    </row>
    <row r="48" spans="1:9">
      <c r="B48" s="40" t="s">
        <v>1514</v>
      </c>
      <c r="C48" s="95">
        <f>C45*C43</f>
        <v>1321.7037671232877</v>
      </c>
      <c r="D48" s="21" t="s">
        <v>273</v>
      </c>
      <c r="E48" s="27"/>
      <c r="G48" s="27"/>
    </row>
    <row r="49" spans="2:10">
      <c r="B49" s="29"/>
    </row>
    <row r="50" spans="2:10">
      <c r="B50" s="25" t="s">
        <v>274</v>
      </c>
    </row>
    <row r="51" spans="2:10">
      <c r="B51" s="40" t="s">
        <v>1216</v>
      </c>
      <c r="C51" s="49">
        <f>C52*3600/120/1000</f>
        <v>54</v>
      </c>
      <c r="D51" s="40" t="s">
        <v>278</v>
      </c>
      <c r="E51" s="27"/>
      <c r="G51" s="60"/>
      <c r="H51" s="27"/>
      <c r="I51" s="40" t="s">
        <v>276</v>
      </c>
    </row>
    <row r="52" spans="2:10">
      <c r="B52" s="40" t="s">
        <v>1216</v>
      </c>
      <c r="C52" s="56">
        <v>1800</v>
      </c>
      <c r="D52" s="40" t="s">
        <v>446</v>
      </c>
      <c r="E52" s="21" t="s">
        <v>185</v>
      </c>
      <c r="F52" s="21">
        <v>2022</v>
      </c>
      <c r="G52" s="51" t="s">
        <v>185</v>
      </c>
      <c r="H52" s="27" t="s">
        <v>1313</v>
      </c>
      <c r="I52" s="21" t="s">
        <v>1312</v>
      </c>
    </row>
    <row r="53" spans="2:10">
      <c r="B53" s="29" t="s">
        <v>283</v>
      </c>
      <c r="C53" s="21">
        <v>12</v>
      </c>
      <c r="D53" s="21">
        <v>11.5</v>
      </c>
      <c r="E53" s="40" t="s">
        <v>284</v>
      </c>
      <c r="F53" s="21" t="s">
        <v>285</v>
      </c>
      <c r="G53" s="21">
        <v>2021</v>
      </c>
      <c r="H53" s="27" t="s">
        <v>52</v>
      </c>
      <c r="I53" s="27" t="s">
        <v>52</v>
      </c>
      <c r="J53" s="27" t="s">
        <v>286</v>
      </c>
    </row>
    <row r="54" spans="2:10">
      <c r="B54" s="29" t="s">
        <v>287</v>
      </c>
      <c r="C54" s="21">
        <v>4</v>
      </c>
      <c r="D54" s="21">
        <v>6.5</v>
      </c>
      <c r="E54" s="40" t="s">
        <v>284</v>
      </c>
      <c r="F54" s="21" t="s">
        <v>285</v>
      </c>
      <c r="G54" s="21">
        <v>2021</v>
      </c>
      <c r="H54" s="27" t="s">
        <v>52</v>
      </c>
      <c r="I54" s="27" t="s">
        <v>52</v>
      </c>
      <c r="J54" s="27" t="s">
        <v>286</v>
      </c>
    </row>
    <row r="55" spans="2:10" ht="32">
      <c r="B55" s="41" t="s">
        <v>280</v>
      </c>
      <c r="C55" s="98">
        <f>C53*$C$51</f>
        <v>648</v>
      </c>
      <c r="D55" s="40" t="s">
        <v>53</v>
      </c>
      <c r="F55" s="21">
        <v>2021</v>
      </c>
      <c r="G55" s="27" t="s">
        <v>52</v>
      </c>
      <c r="H55" s="27" t="s">
        <v>52</v>
      </c>
      <c r="I55" s="21" t="s">
        <v>1312</v>
      </c>
    </row>
    <row r="56" spans="2:10" ht="32">
      <c r="B56" s="41" t="s">
        <v>282</v>
      </c>
      <c r="C56" s="153">
        <f>C54*$C$51</f>
        <v>216</v>
      </c>
      <c r="D56" s="40" t="s">
        <v>53</v>
      </c>
      <c r="F56" s="21">
        <v>2021</v>
      </c>
      <c r="G56" s="27" t="s">
        <v>52</v>
      </c>
      <c r="H56" s="27" t="s">
        <v>52</v>
      </c>
      <c r="I56" s="21" t="s">
        <v>1312</v>
      </c>
    </row>
    <row r="58" spans="2:10">
      <c r="B58" s="25" t="s">
        <v>1314</v>
      </c>
    </row>
    <row r="59" spans="2:10">
      <c r="B59" s="21" t="s">
        <v>1315</v>
      </c>
      <c r="C59" s="95">
        <v>10.5</v>
      </c>
      <c r="D59" s="21" t="s">
        <v>1316</v>
      </c>
      <c r="E59" s="21" t="s">
        <v>185</v>
      </c>
      <c r="F59" s="21">
        <v>2022</v>
      </c>
      <c r="G59" s="51" t="s">
        <v>185</v>
      </c>
      <c r="H59" s="27" t="s">
        <v>1317</v>
      </c>
      <c r="I59" s="21" t="s">
        <v>1318</v>
      </c>
    </row>
    <row r="60" spans="2:10">
      <c r="B60" s="21" t="s">
        <v>1230</v>
      </c>
      <c r="C60" s="108">
        <v>65000</v>
      </c>
      <c r="D60" s="21" t="s">
        <v>1319</v>
      </c>
      <c r="E60" s="21" t="s">
        <v>1281</v>
      </c>
      <c r="F60" s="21">
        <v>2020</v>
      </c>
      <c r="G60" s="51" t="s">
        <v>1281</v>
      </c>
      <c r="H60" s="21" t="s">
        <v>1320</v>
      </c>
      <c r="I60" s="21" t="s">
        <v>1321</v>
      </c>
    </row>
    <row r="61" spans="2:10">
      <c r="B61" s="21" t="s">
        <v>1236</v>
      </c>
      <c r="C61" s="108">
        <v>25000</v>
      </c>
      <c r="D61" s="21" t="s">
        <v>1319</v>
      </c>
      <c r="E61" s="21" t="s">
        <v>129</v>
      </c>
      <c r="F61" s="21">
        <v>2020</v>
      </c>
      <c r="G61" s="21" t="s">
        <v>129</v>
      </c>
      <c r="H61" s="21" t="s">
        <v>1320</v>
      </c>
      <c r="I61" s="21" t="s">
        <v>1322</v>
      </c>
    </row>
    <row r="62" spans="2:10">
      <c r="B62" s="21" t="s">
        <v>1323</v>
      </c>
      <c r="C62" s="121">
        <v>190000</v>
      </c>
      <c r="D62" s="21" t="s">
        <v>995</v>
      </c>
      <c r="E62" s="21" t="s">
        <v>185</v>
      </c>
      <c r="F62" s="21">
        <v>2022</v>
      </c>
      <c r="G62" s="51" t="s">
        <v>185</v>
      </c>
      <c r="H62" s="27" t="s">
        <v>1317</v>
      </c>
      <c r="I62" s="21" t="s">
        <v>1312</v>
      </c>
    </row>
    <row r="63" spans="2:10">
      <c r="B63" s="21" t="s">
        <v>1230</v>
      </c>
      <c r="C63" s="21">
        <v>3.5</v>
      </c>
      <c r="D63" s="21" t="s">
        <v>1324</v>
      </c>
      <c r="F63" s="21">
        <v>2019</v>
      </c>
      <c r="G63" s="51" t="s">
        <v>1325</v>
      </c>
      <c r="H63" s="21" t="s">
        <v>783</v>
      </c>
    </row>
    <row r="64" spans="2:10">
      <c r="B64" s="21" t="s">
        <v>1515</v>
      </c>
      <c r="C64" s="21">
        <v>1.6</v>
      </c>
      <c r="D64" s="21" t="s">
        <v>1324</v>
      </c>
      <c r="E64" s="21" t="s">
        <v>129</v>
      </c>
      <c r="F64" s="21">
        <v>2019</v>
      </c>
      <c r="G64" s="21" t="s">
        <v>129</v>
      </c>
      <c r="H64" s="21" t="s">
        <v>783</v>
      </c>
    </row>
    <row r="65" spans="1:9">
      <c r="B65" s="21" t="s">
        <v>1516</v>
      </c>
      <c r="C65" s="95">
        <f>((C60*$C$59)/POWER(10,3))+((C63*$C$62)/POWER(10,3))</f>
        <v>1347.5</v>
      </c>
      <c r="D65" s="21" t="s">
        <v>53</v>
      </c>
    </row>
    <row r="66" spans="1:9">
      <c r="B66" s="21" t="s">
        <v>1517</v>
      </c>
      <c r="C66" s="40">
        <f>((C61*$C$59)/POWER(10,3))+((C64*$C$62)/POWER(10,3))</f>
        <v>566.5</v>
      </c>
      <c r="D66" s="21" t="s">
        <v>53</v>
      </c>
    </row>
    <row r="68" spans="1:9">
      <c r="A68" s="9">
        <v>3</v>
      </c>
      <c r="B68" s="53" t="s">
        <v>62</v>
      </c>
      <c r="C68" s="35"/>
      <c r="D68" s="35"/>
      <c r="E68" s="35"/>
      <c r="F68" s="35"/>
      <c r="G68" s="35"/>
      <c r="H68" s="35"/>
      <c r="I68" s="35"/>
    </row>
    <row r="69" spans="1:9">
      <c r="B69" s="24" t="s">
        <v>47</v>
      </c>
      <c r="C69" s="24" t="s">
        <v>48</v>
      </c>
      <c r="D69" s="24" t="s">
        <v>49</v>
      </c>
      <c r="E69" s="24" t="s">
        <v>28</v>
      </c>
      <c r="F69" s="24" t="s">
        <v>50</v>
      </c>
      <c r="G69" s="24" t="s">
        <v>29</v>
      </c>
      <c r="H69" s="24" t="s">
        <v>122</v>
      </c>
      <c r="I69" s="24" t="s">
        <v>123</v>
      </c>
    </row>
    <row r="71" spans="1:9">
      <c r="B71" s="21" t="s">
        <v>304</v>
      </c>
      <c r="C71" s="21">
        <v>1</v>
      </c>
      <c r="D71" s="21" t="s">
        <v>33</v>
      </c>
      <c r="F71" s="21">
        <v>2022</v>
      </c>
      <c r="G71" s="21" t="s">
        <v>1326</v>
      </c>
      <c r="H71" s="27" t="s">
        <v>52</v>
      </c>
    </row>
    <row r="72" spans="1:9">
      <c r="B72" s="21" t="s">
        <v>307</v>
      </c>
      <c r="C72" s="96">
        <v>0.1</v>
      </c>
      <c r="D72" s="21" t="s">
        <v>33</v>
      </c>
      <c r="G72" s="51"/>
    </row>
    <row r="73" spans="1:9">
      <c r="B73" s="21" t="s">
        <v>307</v>
      </c>
      <c r="C73" s="96">
        <v>0.15</v>
      </c>
      <c r="D73" s="21" t="s">
        <v>33</v>
      </c>
    </row>
    <row r="75" spans="1:9">
      <c r="B75" s="21" t="s">
        <v>1244</v>
      </c>
      <c r="C75" s="47">
        <v>0.17599999999999999</v>
      </c>
      <c r="D75" s="21" t="s">
        <v>1245</v>
      </c>
      <c r="E75" s="60" t="s">
        <v>52</v>
      </c>
      <c r="F75" s="21">
        <v>2022</v>
      </c>
      <c r="G75" s="61" t="s">
        <v>1246</v>
      </c>
      <c r="H75" s="62"/>
      <c r="I75" s="21" t="s">
        <v>1247</v>
      </c>
    </row>
    <row r="76" spans="1:9">
      <c r="B76" s="21" t="s">
        <v>1248</v>
      </c>
      <c r="C76" s="21">
        <v>25761</v>
      </c>
      <c r="D76" s="21" t="s">
        <v>1249</v>
      </c>
      <c r="E76" s="60"/>
      <c r="G76" s="61"/>
      <c r="I76" s="21" t="s">
        <v>315</v>
      </c>
    </row>
    <row r="77" spans="1:9">
      <c r="B77" s="21" t="s">
        <v>1327</v>
      </c>
      <c r="C77" s="49">
        <f>C75*C76*POWER(10,-3)</f>
        <v>4.5339359999999997</v>
      </c>
      <c r="D77" s="21" t="s">
        <v>1251</v>
      </c>
      <c r="E77" s="27" t="s">
        <v>52</v>
      </c>
      <c r="F77" s="27" t="s">
        <v>52</v>
      </c>
      <c r="G77" s="27" t="s">
        <v>52</v>
      </c>
      <c r="H77" s="27" t="s">
        <v>52</v>
      </c>
    </row>
    <row r="78" spans="1:9">
      <c r="B78" s="21" t="s">
        <v>318</v>
      </c>
      <c r="C78" s="55">
        <f>C77*C72*1000</f>
        <v>453.39359999999999</v>
      </c>
      <c r="D78" s="21" t="s">
        <v>317</v>
      </c>
      <c r="E78" s="27" t="s">
        <v>52</v>
      </c>
      <c r="F78" s="27" t="s">
        <v>52</v>
      </c>
      <c r="G78" s="27" t="s">
        <v>52</v>
      </c>
      <c r="H78" s="27" t="s">
        <v>52</v>
      </c>
    </row>
    <row r="79" spans="1:9">
      <c r="B79" s="21" t="s">
        <v>318</v>
      </c>
      <c r="C79" s="55">
        <f>C77*C73*1000</f>
        <v>680.09039999999993</v>
      </c>
      <c r="D79" s="21" t="s">
        <v>317</v>
      </c>
      <c r="E79" s="27" t="s">
        <v>52</v>
      </c>
      <c r="F79" s="27" t="s">
        <v>52</v>
      </c>
      <c r="G79" s="27" t="s">
        <v>52</v>
      </c>
      <c r="H79" s="27" t="s">
        <v>52</v>
      </c>
    </row>
    <row r="81" spans="1:9">
      <c r="B81" s="21" t="s">
        <v>1328</v>
      </c>
      <c r="C81" s="101" t="s">
        <v>1329</v>
      </c>
      <c r="D81" s="21" t="s">
        <v>551</v>
      </c>
      <c r="F81" s="21">
        <v>2020</v>
      </c>
    </row>
    <row r="82" spans="1:9" hidden="1">
      <c r="B82" s="21" t="s">
        <v>327</v>
      </c>
      <c r="C82" s="108">
        <v>40000</v>
      </c>
      <c r="D82" s="21" t="s">
        <v>328</v>
      </c>
      <c r="H82" s="27"/>
    </row>
    <row r="84" spans="1:9">
      <c r="A84" s="9">
        <v>5</v>
      </c>
      <c r="B84" s="53" t="s">
        <v>70</v>
      </c>
      <c r="C84" s="35"/>
      <c r="D84" s="35"/>
      <c r="E84" s="35"/>
      <c r="F84" s="35"/>
      <c r="G84" s="35"/>
      <c r="H84" s="35"/>
      <c r="I84" s="35"/>
    </row>
    <row r="85" spans="1:9">
      <c r="B85" s="24" t="s">
        <v>47</v>
      </c>
      <c r="C85" s="24" t="s">
        <v>48</v>
      </c>
      <c r="D85" s="24" t="s">
        <v>49</v>
      </c>
      <c r="E85" s="24" t="s">
        <v>28</v>
      </c>
      <c r="F85" s="24" t="s">
        <v>50</v>
      </c>
      <c r="G85" s="24" t="s">
        <v>29</v>
      </c>
      <c r="H85" s="24" t="s">
        <v>122</v>
      </c>
      <c r="I85" s="24" t="s">
        <v>123</v>
      </c>
    </row>
    <row r="87" spans="1:9">
      <c r="A87" s="118"/>
      <c r="B87" s="21" t="s">
        <v>1330</v>
      </c>
      <c r="C87" s="108">
        <v>66000000</v>
      </c>
      <c r="D87" s="21" t="s">
        <v>995</v>
      </c>
      <c r="G87" s="51"/>
    </row>
    <row r="88" spans="1:9">
      <c r="A88" s="118"/>
      <c r="B88" s="25" t="s">
        <v>1331</v>
      </c>
    </row>
    <row r="89" spans="1:9">
      <c r="A89" s="118"/>
      <c r="B89" s="20" t="s">
        <v>1332</v>
      </c>
      <c r="C89" s="108">
        <f>C87*0.1%</f>
        <v>66000</v>
      </c>
      <c r="D89" s="21" t="s">
        <v>995</v>
      </c>
      <c r="G89" s="51"/>
    </row>
    <row r="90" spans="1:9">
      <c r="B90" s="25" t="s">
        <v>1333</v>
      </c>
    </row>
    <row r="91" spans="1:9">
      <c r="B91" s="20" t="s">
        <v>1334</v>
      </c>
      <c r="C91" s="126">
        <f>C87-C89</f>
        <v>65934000</v>
      </c>
      <c r="D91" s="21" t="s">
        <v>995</v>
      </c>
    </row>
    <row r="92" spans="1:9" hidden="1">
      <c r="B92" s="21" t="s">
        <v>1335</v>
      </c>
      <c r="C92" s="44">
        <v>0.1</v>
      </c>
    </row>
    <row r="93" spans="1:9" hidden="1"/>
    <row r="94" spans="1:9">
      <c r="B94" s="25" t="s">
        <v>350</v>
      </c>
    </row>
    <row r="95" spans="1:9">
      <c r="B95" s="20" t="s">
        <v>740</v>
      </c>
      <c r="C95" s="47">
        <v>0.32</v>
      </c>
      <c r="D95" s="21" t="s">
        <v>1336</v>
      </c>
      <c r="E95" s="21" t="s">
        <v>1337</v>
      </c>
      <c r="F95" s="21">
        <v>2022</v>
      </c>
      <c r="G95" s="51" t="s">
        <v>1337</v>
      </c>
    </row>
    <row r="96" spans="1:9">
      <c r="B96" s="21" t="s">
        <v>1338</v>
      </c>
      <c r="C96" s="121">
        <f>(C91*C95)*POWER(10,-3)*C92</f>
        <v>2109.8880000000004</v>
      </c>
      <c r="D96" s="27" t="s">
        <v>53</v>
      </c>
    </row>
    <row r="97" spans="2:10">
      <c r="B97" s="21" t="s">
        <v>1339</v>
      </c>
      <c r="C97" s="189">
        <f>C96/27</f>
        <v>78.14400000000002</v>
      </c>
      <c r="D97" s="27" t="s">
        <v>53</v>
      </c>
    </row>
    <row r="99" spans="2:10">
      <c r="B99" s="25" t="s">
        <v>356</v>
      </c>
    </row>
    <row r="100" spans="2:10">
      <c r="B100" s="147" t="s">
        <v>54</v>
      </c>
      <c r="C100" s="93">
        <v>18</v>
      </c>
      <c r="D100" s="131" t="s">
        <v>53</v>
      </c>
      <c r="E100" s="131" t="s">
        <v>357</v>
      </c>
      <c r="F100" s="131">
        <v>2022</v>
      </c>
      <c r="H100" s="131"/>
      <c r="I100" s="131"/>
      <c r="J100" s="131" t="s">
        <v>358</v>
      </c>
    </row>
    <row r="101" spans="2:10">
      <c r="B101" s="147" t="s">
        <v>359</v>
      </c>
      <c r="C101" s="96">
        <v>0.06</v>
      </c>
      <c r="D101" s="131" t="s">
        <v>33</v>
      </c>
      <c r="E101" s="131" t="s">
        <v>357</v>
      </c>
      <c r="F101" s="131">
        <v>2022</v>
      </c>
      <c r="H101" s="131"/>
      <c r="I101" s="131"/>
      <c r="J101" s="131" t="s">
        <v>1340</v>
      </c>
    </row>
    <row r="102" spans="2:10">
      <c r="B102" s="20" t="s">
        <v>363</v>
      </c>
      <c r="C102" s="106">
        <v>0.1033</v>
      </c>
      <c r="D102" s="21" t="s">
        <v>33</v>
      </c>
      <c r="E102" s="21" t="s">
        <v>364</v>
      </c>
      <c r="F102" s="21">
        <v>2023</v>
      </c>
      <c r="G102" s="51" t="s">
        <v>365</v>
      </c>
      <c r="I102" s="27" t="s">
        <v>366</v>
      </c>
    </row>
    <row r="103" spans="2:10">
      <c r="B103" s="25"/>
    </row>
    <row r="104" spans="2:10" s="18" customFormat="1">
      <c r="B104" s="53" t="s">
        <v>370</v>
      </c>
      <c r="C104" s="35"/>
      <c r="D104" s="35"/>
      <c r="E104" s="35"/>
      <c r="F104" s="35"/>
      <c r="G104" s="35"/>
      <c r="H104" s="35"/>
      <c r="I104" s="35"/>
    </row>
  </sheetData>
  <phoneticPr fontId="16" type="noConversion"/>
  <hyperlinks>
    <hyperlink ref="G47" r:id="rId1" xr:uid="{7DF62EB7-EB86-48DF-8749-279FBECCB241}"/>
    <hyperlink ref="G11" r:id="rId2" xr:uid="{2E8859C6-7E84-46B4-A935-539885232A32}"/>
    <hyperlink ref="G17" r:id="rId3" xr:uid="{D21864DE-28A3-4114-B27D-2053CBA39707}"/>
    <hyperlink ref="G19" r:id="rId4" xr:uid="{7AF3D9EA-306B-4411-A1EB-790681A27B84}"/>
    <hyperlink ref="G95" r:id="rId5" xr:uid="{18A29C87-8064-4278-8DC0-9B27A98960AC}"/>
    <hyperlink ref="G14" r:id="rId6" xr:uid="{79C48B3E-E688-434E-947F-BD147259F7BA}"/>
    <hyperlink ref="G23" r:id="rId7" xr:uid="{84780E6D-D48F-4940-9F38-79BDAB079153}"/>
    <hyperlink ref="G25" r:id="rId8" xr:uid="{85692FFF-239C-4493-8FA3-C486F22985CB}"/>
    <hyperlink ref="G44" r:id="rId9" xr:uid="{6E81B81F-72C4-4BBB-B008-2A2AD01B4F28}"/>
    <hyperlink ref="G52" r:id="rId10" xr:uid="{1E629E79-9014-4F72-98E5-5466B07FD37D}"/>
    <hyperlink ref="G59" r:id="rId11" xr:uid="{A5B12791-E42E-498C-B09D-76A7BBDE9D37}"/>
    <hyperlink ref="G62" r:id="rId12" xr:uid="{A4077D34-9605-412E-9400-F5C71D6D8DC1}"/>
    <hyperlink ref="G63" r:id="rId13" xr:uid="{32F92C89-B525-4568-B864-6EB0E36CDBC8}"/>
    <hyperlink ref="G60" r:id="rId14" xr:uid="{D2BC5EC6-5407-425B-B64A-253B332C772E}"/>
    <hyperlink ref="G102" r:id="rId15" xr:uid="{6B9CCA10-917E-4537-9EB9-5A4C60C5C4BB}"/>
    <hyperlink ref="G36" r:id="rId16" xr:uid="{7F532832-FFA6-4C0F-87A4-B4E470F71432}"/>
    <hyperlink ref="G75" r:id="rId17" xr:uid="{760AB974-42B3-4A39-AD91-3E4F11CB7BC5}"/>
    <hyperlink ref="G45" r:id="rId18" display="Renewable Power Generation Costs in 2021 (irena.org)" xr:uid="{6ADB6D7C-654F-4492-BC97-FF14CBF0FCBF}"/>
    <hyperlink ref="G46" r:id="rId19" xr:uid="{038D5C37-B17A-4821-89C0-0789A5428732}"/>
  </hyperlinks>
  <pageMargins left="0.7" right="0.7" top="0.75" bottom="0.75" header="0.3" footer="0.3"/>
  <pageSetup orientation="portrait" r:id="rId2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04C1-FE47-45A6-974C-B0B841B67EF6}">
  <sheetPr codeName="Sheet25">
    <tabColor theme="9" tint="0.79998168889431442"/>
  </sheetPr>
  <dimension ref="A1:J77"/>
  <sheetViews>
    <sheetView showGridLines="0" zoomScale="55" zoomScaleNormal="55" workbookViewId="0">
      <selection activeCell="C85" sqref="C85"/>
    </sheetView>
  </sheetViews>
  <sheetFormatPr baseColWidth="10" defaultColWidth="8.83203125" defaultRowHeight="15"/>
  <cols>
    <col min="1" max="1" width="9.1640625" customWidth="1"/>
    <col min="2" max="2" width="40.83203125" customWidth="1"/>
    <col min="3" max="3" width="19.83203125" style="21" customWidth="1"/>
    <col min="4" max="4" width="26.83203125" style="21" customWidth="1"/>
    <col min="5" max="5" width="27.5" style="21" customWidth="1"/>
    <col min="6" max="6" width="11.83203125" style="21" customWidth="1"/>
    <col min="7" max="7" width="38.5" style="21" customWidth="1"/>
    <col min="8" max="8" width="26" style="21" customWidth="1"/>
    <col min="9" max="9" width="33.83203125" style="21" customWidth="1"/>
  </cols>
  <sheetData>
    <row r="1" spans="2:9" s="1" customFormat="1">
      <c r="C1" s="2"/>
      <c r="D1" s="2"/>
      <c r="E1" s="2"/>
      <c r="F1" s="2"/>
      <c r="G1" s="2"/>
      <c r="H1" s="2"/>
      <c r="I1" s="2"/>
    </row>
    <row r="2" spans="2:9" s="1" customFormat="1" ht="15" customHeight="1">
      <c r="B2" s="19" t="s">
        <v>371</v>
      </c>
      <c r="C2" s="43"/>
      <c r="D2" s="43"/>
      <c r="E2" s="2"/>
      <c r="F2" s="2"/>
      <c r="G2" s="2"/>
      <c r="H2" s="2"/>
      <c r="I2" s="2"/>
    </row>
    <row r="3" spans="2:9" s="1" customFormat="1" ht="15" customHeight="1">
      <c r="B3" s="19" t="s">
        <v>1478</v>
      </c>
      <c r="C3" s="43"/>
      <c r="D3" s="2"/>
      <c r="E3" s="2"/>
      <c r="F3" s="2"/>
      <c r="G3" s="2"/>
      <c r="H3" s="2"/>
      <c r="I3" s="2"/>
    </row>
    <row r="4" spans="2:9" s="4" customFormat="1" ht="15" customHeight="1" thickBot="1">
      <c r="C4" s="5"/>
      <c r="D4" s="5"/>
      <c r="E4" s="5"/>
      <c r="F4" s="5"/>
      <c r="G4" s="5"/>
      <c r="H4" s="5"/>
      <c r="I4" s="5"/>
    </row>
    <row r="5" spans="2:9" s="133" customFormat="1" ht="15" hidden="1" customHeight="1">
      <c r="B5" s="133" t="s">
        <v>1341</v>
      </c>
      <c r="C5" s="142">
        <v>0.9</v>
      </c>
    </row>
    <row r="6" spans="2:9" s="133" customFormat="1" ht="15" hidden="1" customHeight="1">
      <c r="B6" s="133" t="s">
        <v>1342</v>
      </c>
      <c r="C6" s="143">
        <v>5.8000000000000003E-2</v>
      </c>
    </row>
    <row r="7" spans="2:9" s="133" customFormat="1" ht="15" hidden="1" customHeight="1">
      <c r="B7" s="133" t="s">
        <v>60</v>
      </c>
      <c r="C7" s="143">
        <v>4.2000000000000003E-2</v>
      </c>
    </row>
    <row r="8" spans="2:9" s="133" customFormat="1" hidden="1">
      <c r="B8" s="133" t="s">
        <v>1343</v>
      </c>
      <c r="C8" s="135"/>
      <c r="D8" s="135"/>
      <c r="E8" s="135"/>
      <c r="F8" s="135"/>
      <c r="G8" s="135"/>
      <c r="H8" s="135"/>
      <c r="I8" s="135" t="s">
        <v>1344</v>
      </c>
    </row>
    <row r="9" spans="2:9" ht="14.25" customHeight="1">
      <c r="I9" s="21" t="s">
        <v>1345</v>
      </c>
    </row>
    <row r="10" spans="2:9">
      <c r="B10" s="13" t="s">
        <v>1346</v>
      </c>
      <c r="C10" s="35"/>
      <c r="D10" s="35"/>
      <c r="E10" s="35"/>
      <c r="F10" s="35"/>
      <c r="G10" s="35"/>
      <c r="H10" s="35"/>
      <c r="I10" s="35"/>
    </row>
    <row r="11" spans="2:9">
      <c r="B11" s="19" t="s">
        <v>47</v>
      </c>
      <c r="C11" s="24" t="s">
        <v>48</v>
      </c>
      <c r="D11" s="24" t="s">
        <v>49</v>
      </c>
      <c r="E11" s="24" t="s">
        <v>28</v>
      </c>
      <c r="F11" s="24" t="s">
        <v>50</v>
      </c>
      <c r="G11" s="24" t="s">
        <v>29</v>
      </c>
      <c r="H11" s="24" t="s">
        <v>122</v>
      </c>
      <c r="I11" s="24" t="s">
        <v>123</v>
      </c>
    </row>
    <row r="12" spans="2:9">
      <c r="B12" t="s">
        <v>124</v>
      </c>
      <c r="C12" s="119">
        <f>C13/0.8</f>
        <v>0.98124999999999996</v>
      </c>
      <c r="D12" s="21" t="s">
        <v>125</v>
      </c>
      <c r="H12" s="21" t="s">
        <v>1347</v>
      </c>
    </row>
    <row r="13" spans="2:9">
      <c r="B13" s="20" t="s">
        <v>1151</v>
      </c>
      <c r="C13" s="120">
        <v>0.78500000000000003</v>
      </c>
      <c r="D13" s="21" t="s">
        <v>125</v>
      </c>
      <c r="E13" s="21" t="s">
        <v>51</v>
      </c>
      <c r="F13" s="21">
        <v>2022</v>
      </c>
      <c r="G13" s="51" t="s">
        <v>1348</v>
      </c>
      <c r="H13" s="21" t="s">
        <v>1349</v>
      </c>
      <c r="I13" s="21" t="s">
        <v>1278</v>
      </c>
    </row>
    <row r="14" spans="2:9">
      <c r="B14" s="20" t="s">
        <v>1152</v>
      </c>
      <c r="C14" s="119">
        <f>C12*0.2</f>
        <v>0.19625000000000001</v>
      </c>
      <c r="D14" s="21" t="s">
        <v>125</v>
      </c>
      <c r="I14" s="21" t="s">
        <v>1156</v>
      </c>
    </row>
    <row r="15" spans="2:9">
      <c r="B15" t="s">
        <v>1157</v>
      </c>
      <c r="C15" s="120" t="s">
        <v>42</v>
      </c>
      <c r="D15" s="21" t="s">
        <v>125</v>
      </c>
      <c r="G15" s="60"/>
    </row>
    <row r="16" spans="2:9">
      <c r="B16" t="s">
        <v>133</v>
      </c>
      <c r="C16" s="38" t="s">
        <v>42</v>
      </c>
      <c r="D16" s="21" t="s">
        <v>125</v>
      </c>
    </row>
    <row r="17" spans="1:9">
      <c r="B17" t="s">
        <v>136</v>
      </c>
      <c r="C17" s="38">
        <v>0.16700000000000001</v>
      </c>
      <c r="D17" s="21" t="s">
        <v>125</v>
      </c>
    </row>
    <row r="19" spans="1:9">
      <c r="A19" s="9"/>
      <c r="B19" s="13" t="s">
        <v>1159</v>
      </c>
      <c r="C19" s="35"/>
      <c r="D19" s="35"/>
      <c r="E19" s="35"/>
      <c r="F19" s="35"/>
      <c r="G19" s="35"/>
      <c r="H19" s="35"/>
      <c r="I19" s="35"/>
    </row>
    <row r="20" spans="1:9">
      <c r="B20" s="19" t="s">
        <v>47</v>
      </c>
      <c r="C20" s="24" t="s">
        <v>48</v>
      </c>
      <c r="D20" s="24" t="s">
        <v>49</v>
      </c>
      <c r="E20" s="24" t="s">
        <v>28</v>
      </c>
      <c r="F20" s="24" t="s">
        <v>50</v>
      </c>
      <c r="G20" s="24" t="s">
        <v>29</v>
      </c>
      <c r="H20" s="24" t="s">
        <v>122</v>
      </c>
      <c r="I20" s="24" t="s">
        <v>123</v>
      </c>
    </row>
    <row r="21" spans="1:9">
      <c r="B21" t="s">
        <v>1160</v>
      </c>
      <c r="C21" s="121">
        <v>250</v>
      </c>
      <c r="D21" s="21" t="s">
        <v>1350</v>
      </c>
      <c r="E21" s="21" t="s">
        <v>1351</v>
      </c>
      <c r="F21" s="21">
        <v>2022</v>
      </c>
      <c r="G21" s="51" t="s">
        <v>1352</v>
      </c>
      <c r="H21" s="21" t="s">
        <v>1353</v>
      </c>
      <c r="I21" s="21" t="s">
        <v>1354</v>
      </c>
    </row>
    <row r="22" spans="1:9">
      <c r="B22" t="s">
        <v>1160</v>
      </c>
      <c r="C22" s="121">
        <v>5951</v>
      </c>
      <c r="D22" s="21" t="s">
        <v>1355</v>
      </c>
      <c r="E22" s="21" t="s">
        <v>1351</v>
      </c>
      <c r="F22" s="21">
        <v>2022</v>
      </c>
      <c r="G22" s="130" t="s">
        <v>129</v>
      </c>
      <c r="H22" s="21" t="s">
        <v>129</v>
      </c>
    </row>
    <row r="23" spans="1:9">
      <c r="B23" t="s">
        <v>1160</v>
      </c>
      <c r="C23" s="179">
        <f>C21+C22*0.09</f>
        <v>785.59</v>
      </c>
      <c r="D23" s="21" t="s">
        <v>1356</v>
      </c>
      <c r="F23" s="21">
        <v>2022</v>
      </c>
      <c r="G23" s="130"/>
      <c r="I23" s="21" t="s">
        <v>1357</v>
      </c>
    </row>
    <row r="24" spans="1:9" s="133" customFormat="1" hidden="1">
      <c r="B24" s="133" t="s">
        <v>1164</v>
      </c>
      <c r="C24" s="134" t="s">
        <v>42</v>
      </c>
      <c r="D24" s="135" t="s">
        <v>1356</v>
      </c>
      <c r="E24" s="135"/>
      <c r="F24" s="135"/>
      <c r="G24" s="136"/>
      <c r="H24" s="135"/>
      <c r="I24" s="135"/>
    </row>
    <row r="25" spans="1:9" s="133" customFormat="1" hidden="1">
      <c r="B25" s="133" t="s">
        <v>1164</v>
      </c>
      <c r="C25" s="134" t="s">
        <v>42</v>
      </c>
      <c r="D25" s="135" t="s">
        <v>1358</v>
      </c>
      <c r="E25" s="135"/>
      <c r="F25" s="135"/>
      <c r="G25" s="136"/>
      <c r="H25" s="135"/>
      <c r="I25" s="135"/>
    </row>
    <row r="26" spans="1:9" s="133" customFormat="1" hidden="1">
      <c r="B26" s="133" t="s">
        <v>1165</v>
      </c>
      <c r="C26" s="134" t="s">
        <v>42</v>
      </c>
      <c r="D26" s="135" t="s">
        <v>1356</v>
      </c>
      <c r="E26" s="135"/>
      <c r="F26" s="135"/>
      <c r="G26" s="135"/>
      <c r="H26" s="135"/>
      <c r="I26" s="135"/>
    </row>
    <row r="27" spans="1:9" s="133" customFormat="1" hidden="1">
      <c r="B27" s="133" t="s">
        <v>1165</v>
      </c>
      <c r="C27" s="134" t="s">
        <v>42</v>
      </c>
      <c r="D27" s="135" t="s">
        <v>1358</v>
      </c>
      <c r="E27" s="135"/>
      <c r="F27" s="135"/>
      <c r="G27" s="135"/>
      <c r="H27" s="135"/>
      <c r="I27" s="135"/>
    </row>
    <row r="29" spans="1:9">
      <c r="A29" s="9"/>
      <c r="B29" s="13" t="s">
        <v>1166</v>
      </c>
      <c r="C29" s="35"/>
      <c r="D29" s="35"/>
      <c r="E29" s="35"/>
      <c r="F29" s="35"/>
      <c r="G29" s="35"/>
      <c r="H29" s="35"/>
      <c r="I29" s="35"/>
    </row>
    <row r="30" spans="1:9">
      <c r="B30" s="19" t="s">
        <v>47</v>
      </c>
      <c r="C30" s="24" t="s">
        <v>48</v>
      </c>
      <c r="D30" s="24" t="s">
        <v>49</v>
      </c>
      <c r="E30" s="24" t="s">
        <v>28</v>
      </c>
      <c r="F30" s="24" t="s">
        <v>50</v>
      </c>
      <c r="G30" s="24" t="s">
        <v>29</v>
      </c>
      <c r="H30" s="24" t="s">
        <v>122</v>
      </c>
      <c r="I30" s="24" t="s">
        <v>123</v>
      </c>
    </row>
    <row r="31" spans="1:9">
      <c r="B31" t="s">
        <v>1359</v>
      </c>
      <c r="C31" s="46"/>
      <c r="D31" s="52" t="s">
        <v>1360</v>
      </c>
      <c r="I31" s="21" t="s">
        <v>1361</v>
      </c>
    </row>
    <row r="32" spans="1:9">
      <c r="B32" s="20" t="s">
        <v>160</v>
      </c>
      <c r="C32" s="98">
        <v>99.7</v>
      </c>
      <c r="D32" s="52" t="s">
        <v>1360</v>
      </c>
      <c r="E32" s="21" t="s">
        <v>707</v>
      </c>
      <c r="F32" s="21">
        <v>2022</v>
      </c>
      <c r="G32" s="21" t="s">
        <v>1362</v>
      </c>
    </row>
    <row r="33" spans="1:10" s="133" customFormat="1" hidden="1">
      <c r="B33" s="137" t="s">
        <v>163</v>
      </c>
      <c r="C33" s="134">
        <v>0</v>
      </c>
      <c r="D33" s="138" t="s">
        <v>1360</v>
      </c>
      <c r="E33" s="21" t="s">
        <v>707</v>
      </c>
      <c r="F33" s="135"/>
      <c r="G33" s="21" t="s">
        <v>1362</v>
      </c>
      <c r="H33" s="135"/>
      <c r="I33" s="135"/>
    </row>
    <row r="34" spans="1:10">
      <c r="B34" t="s">
        <v>1363</v>
      </c>
      <c r="C34" s="21">
        <v>144.5</v>
      </c>
      <c r="D34" s="52" t="s">
        <v>1360</v>
      </c>
      <c r="E34" s="21" t="s">
        <v>707</v>
      </c>
      <c r="F34" s="21">
        <v>2022</v>
      </c>
      <c r="G34" s="21" t="s">
        <v>1362</v>
      </c>
      <c r="J34" s="16"/>
    </row>
    <row r="35" spans="1:10">
      <c r="B35" t="s">
        <v>1364</v>
      </c>
      <c r="C35" s="21">
        <v>103.1</v>
      </c>
      <c r="D35" s="52" t="s">
        <v>1360</v>
      </c>
      <c r="E35" s="21" t="s">
        <v>707</v>
      </c>
      <c r="F35" s="21">
        <v>2022</v>
      </c>
      <c r="G35" s="21" t="s">
        <v>1362</v>
      </c>
      <c r="J35" s="16"/>
    </row>
    <row r="36" spans="1:10">
      <c r="B36" t="s">
        <v>1365</v>
      </c>
      <c r="C36" s="21">
        <v>94.7</v>
      </c>
      <c r="D36" s="52" t="s">
        <v>1360</v>
      </c>
      <c r="E36" s="21" t="s">
        <v>707</v>
      </c>
      <c r="F36" s="21">
        <v>2022</v>
      </c>
      <c r="G36" s="21" t="s">
        <v>1362</v>
      </c>
    </row>
    <row r="37" spans="1:10">
      <c r="B37" s="8" t="s">
        <v>1366</v>
      </c>
      <c r="C37" s="44"/>
    </row>
    <row r="38" spans="1:10">
      <c r="B38" t="s">
        <v>1283</v>
      </c>
      <c r="C38" s="69">
        <v>0.22</v>
      </c>
      <c r="D38" s="21" t="s">
        <v>33</v>
      </c>
      <c r="G38" s="51" t="s">
        <v>1367</v>
      </c>
    </row>
    <row r="39" spans="1:10">
      <c r="B39" t="s">
        <v>1364</v>
      </c>
      <c r="C39" s="69">
        <v>0.6</v>
      </c>
      <c r="D39" s="21" t="s">
        <v>33</v>
      </c>
      <c r="G39" s="51"/>
    </row>
    <row r="40" spans="1:10">
      <c r="B40" t="s">
        <v>1365</v>
      </c>
      <c r="C40" s="69">
        <v>0.18</v>
      </c>
      <c r="D40" s="21" t="s">
        <v>33</v>
      </c>
      <c r="G40" s="51"/>
    </row>
    <row r="41" spans="1:10">
      <c r="B41" s="8" t="s">
        <v>168</v>
      </c>
      <c r="C41" s="99">
        <v>7.851</v>
      </c>
      <c r="D41" s="21" t="s">
        <v>1368</v>
      </c>
      <c r="E41" s="27"/>
      <c r="G41" s="60"/>
    </row>
    <row r="42" spans="1:10" ht="16">
      <c r="B42" t="s">
        <v>1363</v>
      </c>
      <c r="C42" s="21">
        <v>7.3890000000000002</v>
      </c>
      <c r="D42" s="21" t="s">
        <v>1369</v>
      </c>
      <c r="E42" s="21" t="s">
        <v>1370</v>
      </c>
      <c r="F42" s="21">
        <v>2018</v>
      </c>
      <c r="G42" s="51" t="s">
        <v>1371</v>
      </c>
      <c r="H42" s="21" t="s">
        <v>1372</v>
      </c>
      <c r="I42" s="31" t="s">
        <v>1373</v>
      </c>
    </row>
    <row r="43" spans="1:10">
      <c r="B43" t="s">
        <v>1364</v>
      </c>
      <c r="C43" s="21">
        <v>6.74</v>
      </c>
      <c r="D43" s="21" t="s">
        <v>1369</v>
      </c>
      <c r="E43" s="21" t="s">
        <v>1370</v>
      </c>
      <c r="F43" s="21">
        <v>2018</v>
      </c>
      <c r="G43" s="51" t="s">
        <v>1371</v>
      </c>
      <c r="H43" s="21" t="s">
        <v>1374</v>
      </c>
      <c r="I43" s="31"/>
    </row>
    <row r="44" spans="1:10">
      <c r="B44" t="s">
        <v>1365</v>
      </c>
      <c r="C44" s="21">
        <v>8.468</v>
      </c>
      <c r="D44" s="21" t="s">
        <v>1369</v>
      </c>
      <c r="E44" s="21" t="s">
        <v>1370</v>
      </c>
      <c r="F44" s="21">
        <v>2018</v>
      </c>
      <c r="G44" s="51" t="s">
        <v>1371</v>
      </c>
      <c r="H44" s="21" t="s">
        <v>1375</v>
      </c>
    </row>
    <row r="45" spans="1:10">
      <c r="C45" s="47"/>
    </row>
    <row r="46" spans="1:10">
      <c r="A46" s="9"/>
      <c r="B46" s="13" t="s">
        <v>170</v>
      </c>
      <c r="C46" s="35"/>
      <c r="D46" s="35"/>
      <c r="E46" s="35"/>
      <c r="F46" s="35"/>
      <c r="G46" s="35"/>
      <c r="H46" s="35"/>
      <c r="I46" s="35"/>
    </row>
    <row r="47" spans="1:10">
      <c r="B47" s="19" t="s">
        <v>47</v>
      </c>
      <c r="C47" s="24" t="s">
        <v>48</v>
      </c>
      <c r="D47" s="24" t="s">
        <v>49</v>
      </c>
      <c r="E47" s="24" t="s">
        <v>28</v>
      </c>
      <c r="F47" s="24" t="s">
        <v>50</v>
      </c>
      <c r="G47" s="24" t="s">
        <v>29</v>
      </c>
      <c r="H47" s="24" t="s">
        <v>122</v>
      </c>
      <c r="I47" s="24" t="s">
        <v>123</v>
      </c>
    </row>
    <row r="48" spans="1:10">
      <c r="B48" t="s">
        <v>171</v>
      </c>
      <c r="C48" s="49">
        <v>221.4</v>
      </c>
      <c r="D48" s="21" t="s">
        <v>1376</v>
      </c>
      <c r="E48" s="21" t="s">
        <v>1362</v>
      </c>
      <c r="F48" s="21">
        <v>2022</v>
      </c>
      <c r="G48" s="21" t="s">
        <v>1377</v>
      </c>
    </row>
    <row r="49" spans="2:9">
      <c r="B49" s="20" t="s">
        <v>1378</v>
      </c>
      <c r="C49" s="21">
        <v>220.96</v>
      </c>
      <c r="D49" s="21" t="s">
        <v>1376</v>
      </c>
      <c r="E49" s="21" t="s">
        <v>1362</v>
      </c>
      <c r="F49" s="21">
        <v>2022</v>
      </c>
      <c r="G49" s="21" t="s">
        <v>1379</v>
      </c>
    </row>
    <row r="50" spans="2:9">
      <c r="B50" s="20" t="s">
        <v>1380</v>
      </c>
      <c r="C50" s="21">
        <v>0.22140000000000001</v>
      </c>
      <c r="D50" s="21" t="s">
        <v>1376</v>
      </c>
      <c r="E50" s="21" t="s">
        <v>1362</v>
      </c>
      <c r="F50" s="21">
        <v>2022</v>
      </c>
      <c r="G50" s="21" t="s">
        <v>1379</v>
      </c>
    </row>
    <row r="51" spans="2:9">
      <c r="B51" s="20" t="s">
        <v>1381</v>
      </c>
      <c r="C51" s="21">
        <v>0.22140000000000001</v>
      </c>
      <c r="D51" s="21" t="s">
        <v>1376</v>
      </c>
      <c r="E51" s="21" t="s">
        <v>1362</v>
      </c>
      <c r="F51" s="21">
        <v>2022</v>
      </c>
      <c r="G51" s="21" t="s">
        <v>1379</v>
      </c>
    </row>
    <row r="52" spans="2:9" s="133" customFormat="1" hidden="1">
      <c r="B52" s="137" t="s">
        <v>1382</v>
      </c>
      <c r="C52" s="135"/>
      <c r="D52" s="135" t="s">
        <v>1383</v>
      </c>
      <c r="E52" s="135"/>
      <c r="F52" s="135"/>
      <c r="G52" s="136"/>
      <c r="H52" s="135"/>
      <c r="I52" s="135"/>
    </row>
    <row r="53" spans="2:9" s="133" customFormat="1" hidden="1">
      <c r="B53" s="137" t="s">
        <v>1384</v>
      </c>
      <c r="C53" s="135"/>
      <c r="D53" s="135" t="s">
        <v>1383</v>
      </c>
      <c r="E53" s="135"/>
      <c r="F53" s="135"/>
      <c r="G53" s="136"/>
      <c r="H53" s="135"/>
      <c r="I53" s="135"/>
    </row>
    <row r="54" spans="2:9">
      <c r="B54" t="s">
        <v>171</v>
      </c>
    </row>
    <row r="55" spans="2:9">
      <c r="B55" s="20" t="s">
        <v>1378</v>
      </c>
      <c r="C55" s="45">
        <v>0.99</v>
      </c>
      <c r="D55" s="21" t="s">
        <v>33</v>
      </c>
    </row>
    <row r="56" spans="2:9">
      <c r="B56" s="20" t="s">
        <v>1380</v>
      </c>
      <c r="C56" s="45" t="s">
        <v>438</v>
      </c>
      <c r="D56" s="21" t="s">
        <v>33</v>
      </c>
    </row>
    <row r="57" spans="2:9">
      <c r="B57" s="20" t="s">
        <v>1381</v>
      </c>
      <c r="C57" s="45" t="s">
        <v>438</v>
      </c>
      <c r="D57" s="21" t="s">
        <v>33</v>
      </c>
    </row>
    <row r="58" spans="2:9" s="133" customFormat="1" hidden="1">
      <c r="B58" s="137" t="s">
        <v>1382</v>
      </c>
      <c r="C58" s="141">
        <v>0</v>
      </c>
      <c r="D58" s="135" t="s">
        <v>33</v>
      </c>
      <c r="E58" s="135"/>
      <c r="F58" s="135"/>
      <c r="G58" s="135"/>
      <c r="H58" s="135"/>
      <c r="I58" s="135"/>
    </row>
    <row r="59" spans="2:9" s="133" customFormat="1" hidden="1">
      <c r="B59" s="137" t="s">
        <v>1384</v>
      </c>
      <c r="C59" s="141">
        <v>0</v>
      </c>
      <c r="D59" s="135" t="s">
        <v>33</v>
      </c>
      <c r="E59" s="135"/>
      <c r="F59" s="135"/>
      <c r="G59" s="135"/>
      <c r="H59" s="135"/>
      <c r="I59" s="135"/>
    </row>
    <row r="60" spans="2:9">
      <c r="B60" s="20"/>
      <c r="C60" s="69"/>
    </row>
    <row r="61" spans="2:9">
      <c r="B61" t="s">
        <v>176</v>
      </c>
      <c r="C61" s="95">
        <f>SUMPRODUCT(C55:C59,C62:C66)</f>
        <v>88.11</v>
      </c>
      <c r="D61" s="21" t="s">
        <v>1385</v>
      </c>
      <c r="G61" s="60"/>
      <c r="I61" s="21" t="s">
        <v>1177</v>
      </c>
    </row>
    <row r="62" spans="2:9">
      <c r="B62" s="20" t="s">
        <v>1378</v>
      </c>
      <c r="C62" s="40">
        <v>89</v>
      </c>
      <c r="D62" s="21" t="s">
        <v>177</v>
      </c>
      <c r="E62" s="21" t="s">
        <v>1386</v>
      </c>
      <c r="F62" s="21">
        <v>2022</v>
      </c>
      <c r="G62" s="60" t="s">
        <v>1387</v>
      </c>
      <c r="H62" s="21" t="s">
        <v>1388</v>
      </c>
    </row>
    <row r="63" spans="2:9">
      <c r="B63" s="20" t="s">
        <v>1380</v>
      </c>
      <c r="C63" s="40">
        <v>27</v>
      </c>
      <c r="D63" s="21" t="s">
        <v>177</v>
      </c>
      <c r="E63" s="21" t="s">
        <v>1386</v>
      </c>
      <c r="F63" s="21">
        <v>2022</v>
      </c>
      <c r="G63" s="60" t="s">
        <v>1387</v>
      </c>
      <c r="H63" s="21" t="s">
        <v>1388</v>
      </c>
      <c r="I63" s="21" t="s">
        <v>1389</v>
      </c>
    </row>
    <row r="64" spans="2:9">
      <c r="B64" s="20" t="s">
        <v>1381</v>
      </c>
      <c r="C64" s="40">
        <v>95</v>
      </c>
      <c r="D64" s="21" t="s">
        <v>177</v>
      </c>
      <c r="E64" s="21" t="s">
        <v>1386</v>
      </c>
      <c r="F64" s="21">
        <v>2022</v>
      </c>
      <c r="G64" s="60" t="s">
        <v>1387</v>
      </c>
      <c r="H64" s="21" t="s">
        <v>1388</v>
      </c>
    </row>
    <row r="65" spans="1:9" s="133" customFormat="1" hidden="1">
      <c r="A65" s="133" t="s">
        <v>1390</v>
      </c>
      <c r="B65" s="137" t="s">
        <v>1382</v>
      </c>
      <c r="C65" s="134">
        <v>0</v>
      </c>
      <c r="D65" s="135" t="s">
        <v>177</v>
      </c>
      <c r="E65" s="135"/>
      <c r="F65" s="135"/>
      <c r="G65" s="139"/>
      <c r="H65" s="135"/>
      <c r="I65" s="135"/>
    </row>
    <row r="66" spans="1:9" s="133" customFormat="1" hidden="1">
      <c r="A66" s="133" t="s">
        <v>1391</v>
      </c>
      <c r="B66" s="137" t="s">
        <v>1384</v>
      </c>
      <c r="C66" s="140">
        <v>0.44</v>
      </c>
      <c r="D66" s="135" t="s">
        <v>177</v>
      </c>
      <c r="E66" s="135" t="s">
        <v>1281</v>
      </c>
      <c r="F66" s="135">
        <v>2022</v>
      </c>
      <c r="G66" s="139" t="s">
        <v>1392</v>
      </c>
      <c r="H66" s="135" t="s">
        <v>1393</v>
      </c>
      <c r="I66" s="135"/>
    </row>
    <row r="67" spans="1:9">
      <c r="B67" s="20"/>
    </row>
    <row r="68" spans="1:9">
      <c r="B68" s="194" t="s">
        <v>781</v>
      </c>
      <c r="E68" s="27"/>
    </row>
    <row r="69" spans="1:9">
      <c r="B69" s="20"/>
      <c r="C69" s="44"/>
    </row>
    <row r="70" spans="1:9">
      <c r="B70" s="20"/>
      <c r="C70" s="44"/>
    </row>
    <row r="72" spans="1:9">
      <c r="B72" s="13" t="s">
        <v>196</v>
      </c>
      <c r="C72" s="35"/>
      <c r="D72" s="35"/>
      <c r="E72" s="35"/>
      <c r="F72" s="35"/>
      <c r="G72" s="35"/>
      <c r="H72" s="35"/>
      <c r="I72" s="35"/>
    </row>
    <row r="73" spans="1:9">
      <c r="B73" s="19" t="s">
        <v>47</v>
      </c>
      <c r="C73" s="24" t="s">
        <v>48</v>
      </c>
      <c r="D73" s="24" t="s">
        <v>49</v>
      </c>
      <c r="E73" s="24" t="s">
        <v>28</v>
      </c>
      <c r="F73" s="24" t="s">
        <v>50</v>
      </c>
      <c r="G73" s="24" t="s">
        <v>29</v>
      </c>
      <c r="H73" s="24" t="s">
        <v>122</v>
      </c>
      <c r="I73" s="24" t="s">
        <v>123</v>
      </c>
    </row>
    <row r="75" spans="1:9">
      <c r="B75" t="s">
        <v>1394</v>
      </c>
      <c r="C75" s="121">
        <v>5951</v>
      </c>
      <c r="D75" s="21" t="s">
        <v>1395</v>
      </c>
      <c r="E75" s="21" t="s">
        <v>1351</v>
      </c>
      <c r="F75" s="21">
        <v>2022</v>
      </c>
      <c r="G75" s="51" t="s">
        <v>1352</v>
      </c>
      <c r="H75" s="21" t="s">
        <v>1353</v>
      </c>
    </row>
    <row r="76" spans="1:9">
      <c r="B76" t="s">
        <v>1396</v>
      </c>
      <c r="C76" s="180">
        <v>15000</v>
      </c>
      <c r="D76" s="21" t="s">
        <v>1395</v>
      </c>
      <c r="E76" s="21" t="s">
        <v>1397</v>
      </c>
      <c r="F76" s="21">
        <v>2022</v>
      </c>
      <c r="G76" s="21" t="s">
        <v>1398</v>
      </c>
      <c r="H76" s="21" t="s">
        <v>1399</v>
      </c>
    </row>
    <row r="77" spans="1:9">
      <c r="B77" t="s">
        <v>1400</v>
      </c>
      <c r="C77" s="180">
        <v>25000</v>
      </c>
      <c r="D77" s="21" t="s">
        <v>1395</v>
      </c>
      <c r="E77" s="21" t="s">
        <v>1397</v>
      </c>
      <c r="F77" s="21">
        <v>2022</v>
      </c>
      <c r="G77" s="51" t="s">
        <v>1398</v>
      </c>
      <c r="H77" s="21" t="s">
        <v>1399</v>
      </c>
    </row>
  </sheetData>
  <phoneticPr fontId="16" type="noConversion"/>
  <hyperlinks>
    <hyperlink ref="G13" r:id="rId1" location="tracking" xr:uid="{B240972A-0758-4EB6-B84B-FABBF20F6054}"/>
    <hyperlink ref="G42" r:id="rId2" xr:uid="{039C1557-F1C9-4AD4-83FF-1746A72227DD}"/>
    <hyperlink ref="G21" r:id="rId3" xr:uid="{49B8D252-C752-45F6-A152-2D04F9DBFDB4}"/>
    <hyperlink ref="G38" r:id="rId4" xr:uid="{B8377DA4-F5FF-4C67-AD46-1F0613734000}"/>
    <hyperlink ref="G75" r:id="rId5" xr:uid="{F3D465AF-DA2E-45E5-8BDB-A846174DC11E}"/>
    <hyperlink ref="G77" r:id="rId6" xr:uid="{B84C710B-53DA-468D-876B-FE3925A9D1AE}"/>
  </hyperlinks>
  <pageMargins left="0.7" right="0.7" top="0.75" bottom="0.75" header="0.3" footer="0.3"/>
  <pageSetup orientation="portrait"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7B152-3A5F-4AEF-B9A8-2F161B9F3FB1}">
  <sheetPr codeName="Sheet26">
    <tabColor theme="9" tint="0.79998168889431442"/>
  </sheetPr>
  <dimension ref="A1:J115"/>
  <sheetViews>
    <sheetView showGridLines="0" topLeftCell="A74" zoomScale="60" zoomScaleNormal="80" workbookViewId="0">
      <selection activeCell="D111" sqref="D111"/>
    </sheetView>
  </sheetViews>
  <sheetFormatPr baseColWidth="10" defaultColWidth="8.83203125" defaultRowHeight="15"/>
  <cols>
    <col min="2" max="2" width="48.5" style="21" customWidth="1"/>
    <col min="3" max="3" width="41" style="21" customWidth="1"/>
    <col min="4" max="4" width="17.5" style="21" customWidth="1"/>
    <col min="5" max="5" width="14.83203125" style="21" customWidth="1"/>
    <col min="6" max="6" width="11.5" style="21" customWidth="1"/>
    <col min="7" max="7" width="51.1640625" style="21" customWidth="1"/>
    <col min="8" max="9" width="22.5" style="21" customWidth="1"/>
  </cols>
  <sheetData>
    <row r="1" spans="1:9" s="1" customFormat="1">
      <c r="B1" s="2"/>
      <c r="C1" s="2"/>
      <c r="D1" s="2"/>
      <c r="E1" s="2"/>
      <c r="F1" s="2"/>
      <c r="G1" s="2"/>
      <c r="H1" s="2"/>
      <c r="I1" s="2"/>
    </row>
    <row r="2" spans="1:9" s="1" customFormat="1" ht="15" customHeight="1">
      <c r="B2" s="19" t="s">
        <v>0</v>
      </c>
      <c r="C2" s="43"/>
      <c r="D2" s="43"/>
      <c r="E2" s="2"/>
      <c r="F2" s="2"/>
      <c r="G2" s="2"/>
      <c r="H2" s="2"/>
      <c r="I2" s="2"/>
    </row>
    <row r="3" spans="1:9" s="1" customFormat="1" ht="15" customHeight="1">
      <c r="B3" s="19" t="s">
        <v>1479</v>
      </c>
      <c r="C3" s="43"/>
      <c r="D3" s="2"/>
      <c r="E3" s="2"/>
      <c r="F3" s="2"/>
      <c r="G3" s="2"/>
      <c r="H3" s="2"/>
      <c r="I3" s="2"/>
    </row>
    <row r="4" spans="1:9" s="4" customFormat="1" ht="15" customHeight="1" thickBot="1">
      <c r="B4" s="5"/>
      <c r="C4" s="5"/>
      <c r="D4" s="5"/>
      <c r="E4" s="5"/>
      <c r="F4" s="5"/>
      <c r="G4" s="5"/>
      <c r="H4" s="5"/>
      <c r="I4" s="5"/>
    </row>
    <row r="6" spans="1:9" ht="14.25" customHeight="1">
      <c r="B6" s="38"/>
    </row>
    <row r="7" spans="1:9">
      <c r="A7" s="9">
        <v>1</v>
      </c>
      <c r="B7" s="53" t="s">
        <v>71</v>
      </c>
      <c r="C7" s="35"/>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row>
    <row r="11" spans="1:9">
      <c r="B11" s="20" t="s">
        <v>111</v>
      </c>
      <c r="C11" s="93" t="s">
        <v>1401</v>
      </c>
      <c r="D11" s="27" t="s">
        <v>52</v>
      </c>
      <c r="E11" s="21" t="s">
        <v>185</v>
      </c>
      <c r="F11" s="21">
        <v>2022</v>
      </c>
      <c r="G11" s="51" t="s">
        <v>1402</v>
      </c>
      <c r="H11" s="21" t="s">
        <v>310</v>
      </c>
    </row>
    <row r="12" spans="1:9">
      <c r="B12" s="21" t="s">
        <v>112</v>
      </c>
      <c r="C12" s="21" t="s">
        <v>1403</v>
      </c>
      <c r="D12" s="27" t="s">
        <v>52</v>
      </c>
      <c r="E12" s="21" t="s">
        <v>185</v>
      </c>
      <c r="F12" s="21">
        <v>2022</v>
      </c>
      <c r="G12" s="51" t="s">
        <v>1402</v>
      </c>
      <c r="H12" s="21" t="s">
        <v>310</v>
      </c>
    </row>
    <row r="13" spans="1:9">
      <c r="B13" s="20" t="s">
        <v>113</v>
      </c>
      <c r="C13" s="21" t="s">
        <v>1404</v>
      </c>
      <c r="D13" s="27" t="s">
        <v>52</v>
      </c>
      <c r="E13" s="21" t="s">
        <v>185</v>
      </c>
      <c r="F13" s="21">
        <v>2022</v>
      </c>
      <c r="G13" s="51" t="s">
        <v>1402</v>
      </c>
      <c r="H13" s="21" t="s">
        <v>310</v>
      </c>
    </row>
    <row r="14" spans="1:9">
      <c r="B14" s="20" t="s">
        <v>114</v>
      </c>
      <c r="C14" s="21" t="s">
        <v>1405</v>
      </c>
      <c r="D14" s="27" t="s">
        <v>52</v>
      </c>
      <c r="E14" s="21" t="s">
        <v>185</v>
      </c>
      <c r="F14" s="21">
        <v>2022</v>
      </c>
      <c r="G14" s="51" t="s">
        <v>1402</v>
      </c>
      <c r="H14" s="21" t="s">
        <v>310</v>
      </c>
      <c r="I14" s="21" t="s">
        <v>1406</v>
      </c>
    </row>
    <row r="15" spans="1:9">
      <c r="B15" s="20" t="s">
        <v>115</v>
      </c>
      <c r="C15" s="21" t="s">
        <v>1405</v>
      </c>
      <c r="D15" s="27" t="s">
        <v>52</v>
      </c>
      <c r="E15" s="21" t="s">
        <v>185</v>
      </c>
      <c r="F15" s="21">
        <v>2022</v>
      </c>
      <c r="G15" s="51" t="s">
        <v>1402</v>
      </c>
      <c r="H15" s="21" t="s">
        <v>310</v>
      </c>
      <c r="I15" s="21" t="s">
        <v>1406</v>
      </c>
    </row>
    <row r="16" spans="1:9">
      <c r="B16" s="20"/>
    </row>
    <row r="17" spans="2:8">
      <c r="B17" s="25" t="s">
        <v>1195</v>
      </c>
    </row>
    <row r="18" spans="2:8">
      <c r="B18" s="20" t="s">
        <v>111</v>
      </c>
      <c r="C18" s="44" t="s">
        <v>1407</v>
      </c>
      <c r="D18" s="21" t="s">
        <v>33</v>
      </c>
      <c r="E18" s="21" t="s">
        <v>185</v>
      </c>
      <c r="F18" s="21">
        <v>2022</v>
      </c>
      <c r="G18" s="51" t="s">
        <v>1402</v>
      </c>
      <c r="H18" s="21" t="s">
        <v>310</v>
      </c>
    </row>
    <row r="19" spans="2:8">
      <c r="B19" s="21" t="s">
        <v>112</v>
      </c>
      <c r="C19" s="44" t="s">
        <v>1407</v>
      </c>
      <c r="D19" s="21" t="s">
        <v>33</v>
      </c>
      <c r="E19" s="21" t="s">
        <v>185</v>
      </c>
      <c r="F19" s="21">
        <v>2022</v>
      </c>
      <c r="G19" s="51" t="s">
        <v>1402</v>
      </c>
      <c r="H19" s="21" t="s">
        <v>310</v>
      </c>
    </row>
    <row r="20" spans="2:8">
      <c r="B20" s="20" t="s">
        <v>113</v>
      </c>
      <c r="C20" s="44" t="s">
        <v>1407</v>
      </c>
      <c r="D20" s="21" t="s">
        <v>33</v>
      </c>
      <c r="E20" s="21" t="s">
        <v>185</v>
      </c>
      <c r="F20" s="21">
        <v>2022</v>
      </c>
      <c r="G20" s="51" t="s">
        <v>1402</v>
      </c>
      <c r="H20" s="21" t="s">
        <v>310</v>
      </c>
    </row>
    <row r="21" spans="2:8">
      <c r="B21" s="20" t="s">
        <v>114</v>
      </c>
      <c r="C21" s="44" t="s">
        <v>1408</v>
      </c>
      <c r="D21" s="21" t="s">
        <v>33</v>
      </c>
      <c r="E21" s="21" t="s">
        <v>185</v>
      </c>
      <c r="F21" s="21">
        <v>2022</v>
      </c>
      <c r="G21" s="51" t="s">
        <v>1402</v>
      </c>
      <c r="H21" s="21" t="s">
        <v>310</v>
      </c>
    </row>
    <row r="22" spans="2:8">
      <c r="B22" s="20" t="s">
        <v>115</v>
      </c>
      <c r="C22" s="44" t="s">
        <v>1409</v>
      </c>
      <c r="D22" s="21" t="s">
        <v>33</v>
      </c>
      <c r="E22" s="21" t="s">
        <v>185</v>
      </c>
      <c r="F22" s="21">
        <v>2022</v>
      </c>
      <c r="G22" s="51" t="s">
        <v>1402</v>
      </c>
      <c r="H22" s="21" t="s">
        <v>310</v>
      </c>
    </row>
    <row r="23" spans="2:8">
      <c r="B23" s="20"/>
      <c r="C23" s="44"/>
      <c r="G23" s="51"/>
    </row>
    <row r="24" spans="2:8">
      <c r="B24" s="25" t="s">
        <v>1410</v>
      </c>
      <c r="C24" s="44"/>
      <c r="G24" s="51"/>
    </row>
    <row r="25" spans="2:8">
      <c r="B25" s="20" t="s">
        <v>111</v>
      </c>
      <c r="C25" s="40">
        <v>15000</v>
      </c>
      <c r="D25" s="21" t="s">
        <v>1411</v>
      </c>
      <c r="E25" s="21" t="s">
        <v>185</v>
      </c>
      <c r="F25" s="21">
        <v>2022</v>
      </c>
      <c r="G25" s="51" t="s">
        <v>1402</v>
      </c>
      <c r="H25" s="21" t="s">
        <v>310</v>
      </c>
    </row>
    <row r="26" spans="2:8">
      <c r="B26" s="21" t="s">
        <v>112</v>
      </c>
      <c r="C26" s="40">
        <v>15000</v>
      </c>
      <c r="D26" s="21" t="s">
        <v>1411</v>
      </c>
      <c r="E26" s="21" t="s">
        <v>185</v>
      </c>
      <c r="F26" s="21">
        <v>2022</v>
      </c>
      <c r="G26" s="51" t="s">
        <v>1402</v>
      </c>
      <c r="H26" s="21" t="s">
        <v>310</v>
      </c>
    </row>
    <row r="27" spans="2:8">
      <c r="B27" s="20" t="s">
        <v>113</v>
      </c>
      <c r="C27" s="40">
        <v>15000</v>
      </c>
      <c r="D27" s="21" t="s">
        <v>1411</v>
      </c>
      <c r="E27" s="21" t="s">
        <v>185</v>
      </c>
      <c r="F27" s="21">
        <v>2022</v>
      </c>
      <c r="G27" s="51" t="s">
        <v>1402</v>
      </c>
      <c r="H27" s="21" t="s">
        <v>310</v>
      </c>
    </row>
    <row r="28" spans="2:8">
      <c r="B28" s="20" t="s">
        <v>114</v>
      </c>
      <c r="C28" s="40">
        <v>2500</v>
      </c>
      <c r="D28" s="21" t="s">
        <v>1411</v>
      </c>
      <c r="E28" s="21" t="s">
        <v>185</v>
      </c>
      <c r="F28" s="21">
        <v>2022</v>
      </c>
      <c r="G28" s="51" t="s">
        <v>1402</v>
      </c>
      <c r="H28" s="21" t="s">
        <v>310</v>
      </c>
    </row>
    <row r="29" spans="2:8">
      <c r="B29" s="20" t="s">
        <v>115</v>
      </c>
      <c r="C29" s="40" t="s">
        <v>1412</v>
      </c>
      <c r="D29" s="21" t="s">
        <v>1411</v>
      </c>
      <c r="E29" s="21" t="s">
        <v>185</v>
      </c>
      <c r="F29" s="21">
        <v>2022</v>
      </c>
      <c r="G29" s="51" t="s">
        <v>1402</v>
      </c>
      <c r="H29" s="21" t="s">
        <v>310</v>
      </c>
    </row>
    <row r="30" spans="2:8">
      <c r="B30" s="20"/>
      <c r="C30" s="40"/>
      <c r="G30" s="51"/>
    </row>
    <row r="31" spans="2:8">
      <c r="B31" s="25" t="s">
        <v>1413</v>
      </c>
      <c r="C31" s="44"/>
      <c r="G31" s="51"/>
    </row>
    <row r="32" spans="2:8">
      <c r="B32" s="20" t="s">
        <v>111</v>
      </c>
      <c r="C32" s="40" t="s">
        <v>1414</v>
      </c>
      <c r="D32" s="21" t="s">
        <v>33</v>
      </c>
      <c r="E32" s="21" t="s">
        <v>185</v>
      </c>
      <c r="F32" s="21">
        <v>2022</v>
      </c>
      <c r="G32" s="51" t="s">
        <v>1402</v>
      </c>
      <c r="H32" s="21" t="s">
        <v>310</v>
      </c>
    </row>
    <row r="33" spans="2:8">
      <c r="B33" s="21" t="s">
        <v>112</v>
      </c>
      <c r="C33" s="40" t="s">
        <v>1414</v>
      </c>
      <c r="D33" s="21" t="s">
        <v>33</v>
      </c>
      <c r="E33" s="21" t="s">
        <v>185</v>
      </c>
      <c r="F33" s="21">
        <v>2022</v>
      </c>
      <c r="G33" s="51" t="s">
        <v>1402</v>
      </c>
      <c r="H33" s="21" t="s">
        <v>310</v>
      </c>
    </row>
    <row r="34" spans="2:8">
      <c r="B34" s="20" t="s">
        <v>113</v>
      </c>
      <c r="C34" s="40" t="s">
        <v>1414</v>
      </c>
      <c r="D34" s="21" t="s">
        <v>33</v>
      </c>
      <c r="E34" s="21" t="s">
        <v>185</v>
      </c>
      <c r="F34" s="21">
        <v>2022</v>
      </c>
      <c r="G34" s="51" t="s">
        <v>1402</v>
      </c>
      <c r="H34" s="21" t="s">
        <v>310</v>
      </c>
    </row>
    <row r="35" spans="2:8">
      <c r="B35" s="20" t="s">
        <v>114</v>
      </c>
      <c r="C35" s="40" t="s">
        <v>1415</v>
      </c>
      <c r="D35" s="21" t="s">
        <v>33</v>
      </c>
      <c r="E35" s="21" t="s">
        <v>185</v>
      </c>
      <c r="F35" s="21">
        <v>2022</v>
      </c>
      <c r="G35" s="51" t="s">
        <v>1402</v>
      </c>
      <c r="H35" s="21" t="s">
        <v>310</v>
      </c>
    </row>
    <row r="36" spans="2:8">
      <c r="B36" s="20" t="s">
        <v>115</v>
      </c>
      <c r="C36" s="40" t="s">
        <v>1416</v>
      </c>
      <c r="D36" s="21" t="s">
        <v>33</v>
      </c>
      <c r="E36" s="21" t="s">
        <v>185</v>
      </c>
      <c r="F36" s="21">
        <v>2022</v>
      </c>
      <c r="G36" s="51" t="s">
        <v>1402</v>
      </c>
      <c r="H36" s="21" t="s">
        <v>310</v>
      </c>
    </row>
    <row r="37" spans="2:8">
      <c r="B37" s="20"/>
    </row>
    <row r="38" spans="2:8">
      <c r="B38" s="25" t="s">
        <v>1417</v>
      </c>
    </row>
    <row r="39" spans="2:8">
      <c r="B39" s="20" t="s">
        <v>111</v>
      </c>
      <c r="C39" s="44" t="s">
        <v>1418</v>
      </c>
      <c r="D39" s="21" t="s">
        <v>33</v>
      </c>
      <c r="E39" s="21" t="s">
        <v>185</v>
      </c>
      <c r="F39" s="21">
        <v>2022</v>
      </c>
      <c r="G39" s="51" t="s">
        <v>1402</v>
      </c>
      <c r="H39" s="21" t="s">
        <v>310</v>
      </c>
    </row>
    <row r="40" spans="2:8">
      <c r="B40" s="21" t="s">
        <v>112</v>
      </c>
      <c r="C40" s="44" t="s">
        <v>1419</v>
      </c>
      <c r="D40" s="21" t="s">
        <v>33</v>
      </c>
      <c r="E40" s="21" t="s">
        <v>185</v>
      </c>
      <c r="F40" s="21">
        <v>2022</v>
      </c>
      <c r="G40" s="51" t="s">
        <v>1402</v>
      </c>
      <c r="H40" s="21" t="s">
        <v>310</v>
      </c>
    </row>
    <row r="41" spans="2:8">
      <c r="B41" s="20" t="s">
        <v>113</v>
      </c>
      <c r="C41" s="44" t="s">
        <v>1420</v>
      </c>
      <c r="D41" s="21" t="s">
        <v>33</v>
      </c>
      <c r="E41" s="21" t="s">
        <v>185</v>
      </c>
      <c r="F41" s="21">
        <v>2022</v>
      </c>
      <c r="G41" s="51" t="s">
        <v>1402</v>
      </c>
      <c r="H41" s="21" t="s">
        <v>310</v>
      </c>
    </row>
    <row r="42" spans="2:8">
      <c r="B42" s="20" t="s">
        <v>114</v>
      </c>
      <c r="C42" s="44"/>
      <c r="D42" s="21" t="s">
        <v>33</v>
      </c>
      <c r="E42" s="21" t="s">
        <v>185</v>
      </c>
      <c r="F42" s="21">
        <v>2022</v>
      </c>
      <c r="G42" s="51" t="s">
        <v>1402</v>
      </c>
      <c r="H42" s="21" t="s">
        <v>310</v>
      </c>
    </row>
    <row r="43" spans="2:8">
      <c r="B43" s="20" t="s">
        <v>115</v>
      </c>
      <c r="C43" s="44"/>
      <c r="D43" s="21" t="s">
        <v>33</v>
      </c>
      <c r="E43" s="21" t="s">
        <v>185</v>
      </c>
      <c r="F43" s="21">
        <v>2022</v>
      </c>
      <c r="G43" s="51" t="s">
        <v>1402</v>
      </c>
      <c r="H43" s="21" t="s">
        <v>310</v>
      </c>
    </row>
    <row r="44" spans="2:8">
      <c r="B44" s="20"/>
      <c r="C44" s="44"/>
    </row>
    <row r="45" spans="2:8">
      <c r="B45" s="25" t="s">
        <v>1422</v>
      </c>
    </row>
    <row r="46" spans="2:8">
      <c r="B46" s="20" t="s">
        <v>111</v>
      </c>
      <c r="C46" s="44" t="s">
        <v>386</v>
      </c>
      <c r="G46" s="51"/>
    </row>
    <row r="47" spans="2:8">
      <c r="B47" s="21" t="s">
        <v>112</v>
      </c>
      <c r="C47" s="44" t="s">
        <v>386</v>
      </c>
      <c r="D47" s="27" t="s">
        <v>52</v>
      </c>
      <c r="E47" s="27" t="s">
        <v>52</v>
      </c>
      <c r="F47" s="27" t="s">
        <v>52</v>
      </c>
      <c r="G47" s="27"/>
    </row>
    <row r="48" spans="2:8">
      <c r="B48" s="20" t="s">
        <v>113</v>
      </c>
      <c r="C48" s="44" t="s">
        <v>386</v>
      </c>
      <c r="D48" s="27" t="s">
        <v>52</v>
      </c>
      <c r="E48" s="27" t="s">
        <v>52</v>
      </c>
      <c r="F48" s="27" t="s">
        <v>52</v>
      </c>
      <c r="G48" s="27"/>
    </row>
    <row r="49" spans="1:9">
      <c r="B49" s="20" t="s">
        <v>114</v>
      </c>
      <c r="C49" s="44">
        <v>0</v>
      </c>
      <c r="D49" s="27" t="s">
        <v>52</v>
      </c>
      <c r="E49" s="27" t="s">
        <v>52</v>
      </c>
      <c r="F49" s="27" t="s">
        <v>52</v>
      </c>
      <c r="G49" s="27"/>
    </row>
    <row r="50" spans="1:9">
      <c r="B50" s="20" t="s">
        <v>115</v>
      </c>
      <c r="C50" s="44">
        <v>0</v>
      </c>
    </row>
    <row r="51" spans="1:9">
      <c r="A51" s="9">
        <v>2</v>
      </c>
      <c r="B51" s="53" t="s">
        <v>82</v>
      </c>
      <c r="C51" s="35"/>
      <c r="D51" s="35"/>
      <c r="E51" s="35"/>
      <c r="F51" s="35"/>
      <c r="G51" s="35"/>
      <c r="H51" s="35"/>
      <c r="I51" s="35"/>
    </row>
    <row r="52" spans="1:9">
      <c r="B52" s="24" t="s">
        <v>47</v>
      </c>
      <c r="C52" s="24" t="s">
        <v>48</v>
      </c>
      <c r="D52" s="24" t="s">
        <v>49</v>
      </c>
      <c r="E52" s="24" t="s">
        <v>28</v>
      </c>
      <c r="F52" s="24" t="s">
        <v>50</v>
      </c>
      <c r="G52" s="24" t="s">
        <v>29</v>
      </c>
      <c r="H52" s="24" t="s">
        <v>122</v>
      </c>
      <c r="I52" s="24" t="s">
        <v>123</v>
      </c>
    </row>
    <row r="54" spans="1:9">
      <c r="B54" s="25" t="s">
        <v>1526</v>
      </c>
      <c r="C54" s="73"/>
      <c r="G54" s="51"/>
    </row>
    <row r="55" spans="1:9">
      <c r="B55" s="20" t="s">
        <v>1527</v>
      </c>
      <c r="C55" s="214">
        <v>0.41</v>
      </c>
      <c r="D55" s="21" t="s">
        <v>33</v>
      </c>
      <c r="E55" s="21" t="s">
        <v>185</v>
      </c>
      <c r="F55" s="21">
        <v>2022</v>
      </c>
      <c r="G55" s="21" t="s">
        <v>1525</v>
      </c>
    </row>
    <row r="56" spans="1:9">
      <c r="B56" s="20" t="s">
        <v>1528</v>
      </c>
      <c r="C56" s="214">
        <v>0.22</v>
      </c>
      <c r="D56" s="21" t="s">
        <v>33</v>
      </c>
      <c r="E56" s="21" t="s">
        <v>185</v>
      </c>
      <c r="F56" s="21">
        <v>2022</v>
      </c>
      <c r="G56" s="21" t="s">
        <v>1525</v>
      </c>
    </row>
    <row r="57" spans="1:9">
      <c r="B57" s="20" t="s">
        <v>113</v>
      </c>
      <c r="C57" s="69">
        <v>0.19</v>
      </c>
      <c r="D57" s="21" t="s">
        <v>33</v>
      </c>
      <c r="E57" s="21" t="s">
        <v>185</v>
      </c>
      <c r="F57" s="21">
        <v>2022</v>
      </c>
      <c r="G57" s="21" t="s">
        <v>1525</v>
      </c>
    </row>
    <row r="58" spans="1:9">
      <c r="B58" s="20" t="s">
        <v>190</v>
      </c>
      <c r="C58" s="69">
        <v>0.1</v>
      </c>
      <c r="D58" s="21" t="s">
        <v>33</v>
      </c>
      <c r="E58" s="21" t="s">
        <v>185</v>
      </c>
      <c r="F58" s="21">
        <v>2022</v>
      </c>
      <c r="G58" s="21" t="s">
        <v>1525</v>
      </c>
    </row>
    <row r="59" spans="1:9">
      <c r="B59" s="21" t="s">
        <v>111</v>
      </c>
      <c r="C59" s="214">
        <v>0.05</v>
      </c>
      <c r="D59" s="21" t="s">
        <v>33</v>
      </c>
      <c r="E59" s="21" t="s">
        <v>185</v>
      </c>
      <c r="F59" s="21">
        <v>2022</v>
      </c>
      <c r="G59" s="21" t="s">
        <v>1525</v>
      </c>
    </row>
    <row r="60" spans="1:9">
      <c r="B60" s="21" t="s">
        <v>1529</v>
      </c>
      <c r="C60" s="214">
        <v>0.02</v>
      </c>
      <c r="D60" s="21" t="s">
        <v>33</v>
      </c>
      <c r="E60" s="21" t="s">
        <v>185</v>
      </c>
      <c r="F60" s="21">
        <v>2022</v>
      </c>
      <c r="G60" s="21" t="s">
        <v>1525</v>
      </c>
    </row>
    <row r="61" spans="1:9">
      <c r="B61" s="20"/>
      <c r="C61" s="73"/>
    </row>
    <row r="62" spans="1:9">
      <c r="B62" s="25" t="s">
        <v>1221</v>
      </c>
    </row>
    <row r="63" spans="1:9">
      <c r="B63" s="21" t="s">
        <v>1222</v>
      </c>
      <c r="C63" s="21" t="s">
        <v>1423</v>
      </c>
      <c r="D63" s="21" t="s">
        <v>44</v>
      </c>
    </row>
    <row r="64" spans="1:9">
      <c r="B64" s="21" t="s">
        <v>1222</v>
      </c>
      <c r="C64" s="21">
        <v>12</v>
      </c>
      <c r="D64" s="21" t="s">
        <v>38</v>
      </c>
      <c r="G64" s="51" t="s">
        <v>1421</v>
      </c>
      <c r="H64" s="21" t="s">
        <v>320</v>
      </c>
    </row>
    <row r="65" spans="2:10">
      <c r="B65" s="21" t="s">
        <v>1223</v>
      </c>
      <c r="C65" s="21">
        <v>22</v>
      </c>
      <c r="D65" s="21" t="s">
        <v>1224</v>
      </c>
      <c r="G65" s="51" t="s">
        <v>1424</v>
      </c>
      <c r="I65" s="21" t="s">
        <v>1425</v>
      </c>
    </row>
    <row r="66" spans="2:10">
      <c r="B66" s="16" t="s">
        <v>287</v>
      </c>
      <c r="C66" s="21">
        <v>15</v>
      </c>
      <c r="D66" s="21" t="s">
        <v>1224</v>
      </c>
      <c r="G66" s="51" t="s">
        <v>1424</v>
      </c>
      <c r="I66" s="21" t="s">
        <v>1425</v>
      </c>
    </row>
    <row r="67" spans="2:10">
      <c r="B67" s="21" t="s">
        <v>1225</v>
      </c>
      <c r="C67" s="21">
        <v>260</v>
      </c>
      <c r="D67" s="21" t="s">
        <v>1226</v>
      </c>
    </row>
    <row r="68" spans="2:10">
      <c r="B68" s="21" t="s">
        <v>1227</v>
      </c>
      <c r="C68" s="21">
        <v>180</v>
      </c>
      <c r="D68" s="21" t="s">
        <v>1226</v>
      </c>
      <c r="G68" s="21" t="s">
        <v>1426</v>
      </c>
    </row>
    <row r="69" spans="2:10">
      <c r="B69" s="29"/>
    </row>
    <row r="70" spans="2:10">
      <c r="B70" s="25" t="s">
        <v>274</v>
      </c>
    </row>
    <row r="71" spans="2:10">
      <c r="B71" s="40" t="s">
        <v>1427</v>
      </c>
      <c r="C71" s="49">
        <v>95</v>
      </c>
      <c r="D71" s="40" t="s">
        <v>44</v>
      </c>
      <c r="E71" s="27"/>
      <c r="G71" s="51" t="s">
        <v>1421</v>
      </c>
      <c r="H71" s="21" t="s">
        <v>320</v>
      </c>
      <c r="I71" s="40" t="s">
        <v>276</v>
      </c>
    </row>
    <row r="72" spans="2:10" ht="32">
      <c r="B72" s="41" t="s">
        <v>280</v>
      </c>
      <c r="C72" s="98">
        <f>C74*C71</f>
        <v>1140</v>
      </c>
      <c r="D72" s="21" t="s">
        <v>1226</v>
      </c>
      <c r="G72" s="27"/>
      <c r="H72" s="27" t="s">
        <v>52</v>
      </c>
    </row>
    <row r="73" spans="2:10" ht="32">
      <c r="B73" s="41" t="s">
        <v>282</v>
      </c>
      <c r="C73" s="46">
        <f>C75*C71</f>
        <v>380</v>
      </c>
      <c r="D73" s="21" t="s">
        <v>1226</v>
      </c>
      <c r="G73" s="27"/>
      <c r="H73" s="27" t="s">
        <v>52</v>
      </c>
    </row>
    <row r="74" spans="2:10">
      <c r="B74" s="29" t="s">
        <v>283</v>
      </c>
      <c r="C74" s="21">
        <v>12</v>
      </c>
      <c r="D74" s="21">
        <v>11.5</v>
      </c>
      <c r="E74" s="40" t="s">
        <v>284</v>
      </c>
      <c r="F74" s="21" t="s">
        <v>285</v>
      </c>
      <c r="G74" s="21">
        <v>2021</v>
      </c>
      <c r="H74" s="27" t="s">
        <v>52</v>
      </c>
      <c r="I74" s="27" t="s">
        <v>52</v>
      </c>
      <c r="J74" s="27" t="s">
        <v>286</v>
      </c>
    </row>
    <row r="75" spans="2:10">
      <c r="B75" s="29" t="s">
        <v>287</v>
      </c>
      <c r="C75" s="21">
        <v>4</v>
      </c>
      <c r="D75" s="21">
        <v>6.5</v>
      </c>
      <c r="E75" s="40" t="s">
        <v>284</v>
      </c>
      <c r="F75" s="21" t="s">
        <v>285</v>
      </c>
      <c r="G75" s="21">
        <v>2021</v>
      </c>
      <c r="H75" s="27" t="s">
        <v>52</v>
      </c>
      <c r="I75" s="27" t="s">
        <v>52</v>
      </c>
      <c r="J75" s="27" t="s">
        <v>286</v>
      </c>
    </row>
    <row r="77" spans="2:10">
      <c r="B77" s="25" t="s">
        <v>288</v>
      </c>
    </row>
    <row r="78" spans="2:10">
      <c r="B78" s="25" t="s">
        <v>1522</v>
      </c>
      <c r="C78" s="57">
        <v>490</v>
      </c>
      <c r="D78" s="21" t="s">
        <v>44</v>
      </c>
      <c r="E78" s="51"/>
      <c r="G78" s="51" t="s">
        <v>1421</v>
      </c>
      <c r="H78" s="21" t="s">
        <v>1428</v>
      </c>
      <c r="I78" s="21" t="s">
        <v>1429</v>
      </c>
    </row>
    <row r="79" spans="2:10">
      <c r="B79" s="20" t="s">
        <v>1518</v>
      </c>
      <c r="C79" s="95">
        <f>C78*C81/1000</f>
        <v>85.75</v>
      </c>
      <c r="D79" s="21" t="s">
        <v>295</v>
      </c>
      <c r="E79" s="27"/>
      <c r="F79" s="27"/>
      <c r="G79" s="27"/>
      <c r="H79" s="27" t="s">
        <v>52</v>
      </c>
    </row>
    <row r="80" spans="2:10">
      <c r="B80" s="20" t="s">
        <v>1519</v>
      </c>
      <c r="C80" s="40">
        <f>C78*C82/1000</f>
        <v>39.200000000000003</v>
      </c>
      <c r="D80" s="21" t="s">
        <v>295</v>
      </c>
      <c r="E80" s="27"/>
      <c r="F80" s="27"/>
      <c r="G80" s="27"/>
      <c r="H80" s="27" t="s">
        <v>52</v>
      </c>
    </row>
    <row r="81" spans="1:9">
      <c r="B81" s="20" t="s">
        <v>283</v>
      </c>
      <c r="C81" s="21">
        <v>175</v>
      </c>
      <c r="D81" s="21" t="s">
        <v>297</v>
      </c>
      <c r="E81" s="21" t="s">
        <v>298</v>
      </c>
      <c r="G81" s="21" t="s">
        <v>299</v>
      </c>
      <c r="H81" s="21" t="s">
        <v>300</v>
      </c>
      <c r="I81" s="21" t="s">
        <v>301</v>
      </c>
    </row>
    <row r="82" spans="1:9">
      <c r="B82" s="20" t="s">
        <v>302</v>
      </c>
      <c r="C82" s="21">
        <v>80</v>
      </c>
      <c r="D82" s="21" t="s">
        <v>297</v>
      </c>
      <c r="E82" s="21" t="s">
        <v>298</v>
      </c>
      <c r="G82" s="21" t="s">
        <v>299</v>
      </c>
      <c r="H82" s="21" t="s">
        <v>300</v>
      </c>
      <c r="I82" s="21" t="s">
        <v>303</v>
      </c>
    </row>
    <row r="84" spans="1:9">
      <c r="A84" s="9">
        <v>3</v>
      </c>
      <c r="B84" s="53" t="s">
        <v>62</v>
      </c>
      <c r="C84" s="35"/>
      <c r="D84" s="35"/>
      <c r="E84" s="35"/>
      <c r="F84" s="35"/>
      <c r="G84" s="35"/>
      <c r="H84" s="35"/>
      <c r="I84" s="35"/>
    </row>
    <row r="85" spans="1:9">
      <c r="B85" s="24" t="s">
        <v>47</v>
      </c>
      <c r="C85" s="24" t="s">
        <v>48</v>
      </c>
      <c r="D85" s="24" t="s">
        <v>49</v>
      </c>
      <c r="E85" s="24" t="s">
        <v>28</v>
      </c>
      <c r="F85" s="24" t="s">
        <v>50</v>
      </c>
      <c r="G85" s="24" t="s">
        <v>29</v>
      </c>
      <c r="H85" s="24" t="s">
        <v>122</v>
      </c>
      <c r="I85" s="24" t="s">
        <v>123</v>
      </c>
    </row>
    <row r="87" spans="1:9">
      <c r="B87" s="21" t="s">
        <v>304</v>
      </c>
      <c r="C87" s="21">
        <v>0.1</v>
      </c>
      <c r="D87" s="21" t="s">
        <v>33</v>
      </c>
      <c r="H87" s="27"/>
    </row>
    <row r="88" spans="1:9">
      <c r="B88" s="21" t="s">
        <v>1430</v>
      </c>
      <c r="C88" s="44">
        <v>0.15</v>
      </c>
      <c r="D88" s="21" t="s">
        <v>33</v>
      </c>
      <c r="E88" s="21" t="s">
        <v>1523</v>
      </c>
      <c r="H88" s="27"/>
      <c r="I88" s="21" t="s">
        <v>1524</v>
      </c>
    </row>
    <row r="89" spans="1:9">
      <c r="B89" s="21" t="s">
        <v>1431</v>
      </c>
      <c r="C89" s="44">
        <v>3</v>
      </c>
      <c r="D89" s="21" t="s">
        <v>33</v>
      </c>
      <c r="H89" s="27"/>
    </row>
    <row r="90" spans="1:9">
      <c r="B90" s="21" t="s">
        <v>1432</v>
      </c>
      <c r="C90" s="44">
        <v>4</v>
      </c>
      <c r="D90" s="21" t="s">
        <v>33</v>
      </c>
      <c r="H90" s="27"/>
    </row>
    <row r="91" spans="1:9">
      <c r="B91" s="21" t="s">
        <v>307</v>
      </c>
      <c r="C91" s="96">
        <f>C89*$C$88</f>
        <v>0.44999999999999996</v>
      </c>
      <c r="D91" s="21" t="s">
        <v>33</v>
      </c>
      <c r="E91" s="21" t="s">
        <v>185</v>
      </c>
      <c r="F91" s="21">
        <v>2022</v>
      </c>
      <c r="G91" s="21" t="s">
        <v>1525</v>
      </c>
    </row>
    <row r="92" spans="1:9">
      <c r="B92" s="21" t="s">
        <v>307</v>
      </c>
      <c r="C92" s="96">
        <f>C90*$C$88</f>
        <v>0.6</v>
      </c>
      <c r="D92" s="21" t="s">
        <v>33</v>
      </c>
      <c r="E92" s="21" t="s">
        <v>185</v>
      </c>
      <c r="F92" s="21">
        <v>2022</v>
      </c>
      <c r="G92" s="21" t="s">
        <v>1525</v>
      </c>
    </row>
    <row r="93" spans="1:9">
      <c r="B93" s="21" t="s">
        <v>1433</v>
      </c>
      <c r="C93" s="55">
        <v>727</v>
      </c>
      <c r="D93" s="21" t="s">
        <v>317</v>
      </c>
      <c r="E93" s="27" t="s">
        <v>52</v>
      </c>
      <c r="F93" s="27" t="s">
        <v>52</v>
      </c>
      <c r="G93" s="27" t="s">
        <v>52</v>
      </c>
      <c r="H93" s="27" t="s">
        <v>52</v>
      </c>
    </row>
    <row r="94" spans="1:9">
      <c r="B94" s="21" t="s">
        <v>318</v>
      </c>
      <c r="C94" s="55">
        <f>C93*C91</f>
        <v>327.14999999999998</v>
      </c>
      <c r="D94" s="21" t="s">
        <v>317</v>
      </c>
      <c r="E94" s="27" t="s">
        <v>52</v>
      </c>
      <c r="F94" s="27" t="s">
        <v>52</v>
      </c>
      <c r="G94" s="27" t="s">
        <v>52</v>
      </c>
      <c r="H94" s="27" t="s">
        <v>52</v>
      </c>
    </row>
    <row r="95" spans="1:9">
      <c r="B95" s="21" t="s">
        <v>318</v>
      </c>
      <c r="C95" s="55">
        <f>C93*C92</f>
        <v>436.2</v>
      </c>
      <c r="D95" s="21" t="s">
        <v>317</v>
      </c>
      <c r="E95" s="27" t="s">
        <v>52</v>
      </c>
      <c r="F95" s="27" t="s">
        <v>52</v>
      </c>
      <c r="G95" s="27" t="s">
        <v>52</v>
      </c>
      <c r="H95" s="27" t="s">
        <v>52</v>
      </c>
    </row>
    <row r="96" spans="1:9" hidden="1">
      <c r="B96" s="21" t="s">
        <v>327</v>
      </c>
      <c r="C96" s="108">
        <v>40000</v>
      </c>
      <c r="D96" s="21" t="s">
        <v>328</v>
      </c>
    </row>
    <row r="98" spans="1:10">
      <c r="A98" s="9">
        <v>4</v>
      </c>
      <c r="B98" s="53" t="s">
        <v>70</v>
      </c>
      <c r="C98" s="35"/>
      <c r="D98" s="35"/>
      <c r="E98" s="35"/>
      <c r="F98" s="35"/>
      <c r="G98" s="35"/>
      <c r="H98" s="35"/>
      <c r="I98" s="35"/>
    </row>
    <row r="99" spans="1:10">
      <c r="B99" s="24" t="s">
        <v>47</v>
      </c>
      <c r="C99" s="24" t="s">
        <v>48</v>
      </c>
      <c r="D99" s="24" t="s">
        <v>49</v>
      </c>
      <c r="E99" s="24" t="s">
        <v>28</v>
      </c>
      <c r="F99" s="24" t="s">
        <v>50</v>
      </c>
      <c r="G99" s="24" t="s">
        <v>29</v>
      </c>
      <c r="H99" s="24" t="s">
        <v>122</v>
      </c>
      <c r="I99" s="24" t="s">
        <v>123</v>
      </c>
    </row>
    <row r="100" spans="1:10">
      <c r="B100" s="25" t="s">
        <v>350</v>
      </c>
    </row>
    <row r="101" spans="1:10">
      <c r="B101" s="21" t="s">
        <v>1338</v>
      </c>
      <c r="C101" s="95">
        <v>5000</v>
      </c>
      <c r="D101" s="27" t="s">
        <v>53</v>
      </c>
      <c r="E101" s="21" t="s">
        <v>1351</v>
      </c>
      <c r="F101" s="21">
        <v>2022</v>
      </c>
      <c r="G101" s="51" t="s">
        <v>1434</v>
      </c>
      <c r="H101" s="21">
        <v>8</v>
      </c>
    </row>
    <row r="103" spans="1:10">
      <c r="B103" s="25" t="s">
        <v>356</v>
      </c>
    </row>
    <row r="104" spans="1:10">
      <c r="B104" s="147" t="s">
        <v>54</v>
      </c>
      <c r="C104" s="131">
        <v>78</v>
      </c>
      <c r="D104" s="131" t="s">
        <v>53</v>
      </c>
      <c r="E104" s="131" t="s">
        <v>357</v>
      </c>
      <c r="F104" s="131">
        <v>2022</v>
      </c>
      <c r="H104" s="131"/>
      <c r="I104" s="131"/>
      <c r="J104" s="131" t="s">
        <v>358</v>
      </c>
    </row>
    <row r="105" spans="1:10">
      <c r="B105" s="147" t="s">
        <v>359</v>
      </c>
      <c r="C105" s="150">
        <v>0.05</v>
      </c>
      <c r="D105" s="131" t="s">
        <v>33</v>
      </c>
      <c r="E105" s="131" t="s">
        <v>357</v>
      </c>
      <c r="F105" s="131">
        <v>2022</v>
      </c>
      <c r="H105" s="131"/>
      <c r="I105" s="131"/>
      <c r="J105" s="131" t="s">
        <v>1340</v>
      </c>
    </row>
    <row r="106" spans="1:10">
      <c r="B106" s="20" t="s">
        <v>363</v>
      </c>
      <c r="C106" s="44">
        <v>7.0000000000000007E-2</v>
      </c>
      <c r="D106" s="21" t="s">
        <v>33</v>
      </c>
      <c r="E106" s="21" t="s">
        <v>364</v>
      </c>
      <c r="F106" s="21">
        <v>2023</v>
      </c>
      <c r="G106" s="51" t="s">
        <v>365</v>
      </c>
      <c r="I106" s="27" t="s">
        <v>366</v>
      </c>
    </row>
    <row r="107" spans="1:10">
      <c r="B107" s="20"/>
      <c r="C107" s="44"/>
      <c r="G107" s="51"/>
      <c r="I107" s="27"/>
    </row>
    <row r="108" spans="1:10">
      <c r="B108" s="194" t="s">
        <v>1484</v>
      </c>
      <c r="E108" s="27"/>
      <c r="H108"/>
      <c r="I108"/>
    </row>
    <row r="109" spans="1:10">
      <c r="B109" s="20" t="s">
        <v>1485</v>
      </c>
      <c r="C109" s="101">
        <v>6.0999999999999999E-2</v>
      </c>
      <c r="D109" s="21" t="s">
        <v>33</v>
      </c>
      <c r="E109" s="21" t="s">
        <v>1490</v>
      </c>
      <c r="F109" s="21">
        <v>2023</v>
      </c>
      <c r="G109" s="60" t="s">
        <v>1491</v>
      </c>
      <c r="I109"/>
    </row>
    <row r="110" spans="1:10">
      <c r="B110" s="20" t="s">
        <v>1486</v>
      </c>
      <c r="C110" s="101">
        <v>0.121</v>
      </c>
      <c r="D110" s="21" t="s">
        <v>33</v>
      </c>
      <c r="E110" s="21" t="s">
        <v>1490</v>
      </c>
      <c r="F110" s="21">
        <v>2023</v>
      </c>
      <c r="G110" s="60" t="s">
        <v>1491</v>
      </c>
      <c r="I110"/>
    </row>
    <row r="111" spans="1:10">
      <c r="B111" s="20" t="s">
        <v>1487</v>
      </c>
      <c r="C111" s="101">
        <v>6.0999999999999999E-2</v>
      </c>
      <c r="D111" s="21" t="s">
        <v>33</v>
      </c>
      <c r="E111" s="21" t="s">
        <v>1490</v>
      </c>
      <c r="F111" s="21">
        <v>2023</v>
      </c>
      <c r="G111" s="60" t="s">
        <v>1491</v>
      </c>
      <c r="I111"/>
    </row>
    <row r="112" spans="1:10">
      <c r="B112" s="20" t="s">
        <v>1488</v>
      </c>
      <c r="C112" s="101">
        <v>0.33300000000000002</v>
      </c>
      <c r="D112" s="21" t="s">
        <v>33</v>
      </c>
      <c r="E112" s="21" t="s">
        <v>1490</v>
      </c>
      <c r="F112" s="21">
        <v>2023</v>
      </c>
      <c r="G112" s="60" t="s">
        <v>1491</v>
      </c>
      <c r="I112"/>
    </row>
    <row r="113" spans="2:9">
      <c r="B113" s="20" t="s">
        <v>1489</v>
      </c>
      <c r="C113" s="101">
        <v>0.42399999999999999</v>
      </c>
      <c r="D113" s="21" t="s">
        <v>33</v>
      </c>
      <c r="E113" s="21" t="s">
        <v>1490</v>
      </c>
      <c r="F113" s="21">
        <v>2023</v>
      </c>
      <c r="G113" s="60" t="s">
        <v>1491</v>
      </c>
      <c r="I113"/>
    </row>
    <row r="115" spans="2:9" s="18" customFormat="1">
      <c r="B115" s="53" t="s">
        <v>370</v>
      </c>
      <c r="C115" s="35"/>
      <c r="D115" s="35"/>
      <c r="E115" s="35"/>
      <c r="F115" s="35"/>
      <c r="G115" s="35"/>
      <c r="H115" s="35"/>
      <c r="I115" s="35"/>
    </row>
  </sheetData>
  <phoneticPr fontId="16" type="noConversion"/>
  <dataValidations count="1">
    <dataValidation type="list" allowBlank="1" showInputMessage="1" showErrorMessage="1" sqref="J108:J113" xr:uid="{FC87680E-8249-41B3-A776-FF75DBBF294A}">
      <formula1>"Available annually, Available every few years, Infrequent / Once-off"</formula1>
    </dataValidation>
  </dataValidations>
  <hyperlinks>
    <hyperlink ref="G11" r:id="rId1" xr:uid="{134B2D69-3052-4DFD-AF6B-B7A78E2F8EF3}"/>
    <hyperlink ref="G13" r:id="rId2" xr:uid="{87F79A3B-2B98-4BD0-AAEA-1DAE601B03FF}"/>
    <hyperlink ref="G71" r:id="rId3" xr:uid="{C99A617D-B300-42DD-8080-F75474C957D1}"/>
    <hyperlink ref="G64" r:id="rId4" xr:uid="{36D9ADB3-0F7B-4307-80E7-F350BB8708BF}"/>
    <hyperlink ref="G65" r:id="rId5" xr:uid="{F961F2D5-27AE-4850-ADA1-EEB82CA468D9}"/>
    <hyperlink ref="G66" r:id="rId6" xr:uid="{02B65509-0423-4D2A-9E15-E3609247A4F6}"/>
    <hyperlink ref="G101" r:id="rId7" xr:uid="{1D18C8A3-7AAA-4800-88EC-372E0927EB41}"/>
    <hyperlink ref="G18" r:id="rId8" xr:uid="{F1E63311-58F3-419D-9982-8F8C36B0CCDC}"/>
    <hyperlink ref="G29" r:id="rId9" xr:uid="{0E8FB78E-61BB-43EF-961D-189429DAD1B4}"/>
    <hyperlink ref="G106" r:id="rId10" xr:uid="{384A9A0B-B507-492C-B2D4-A872CC4F15F7}"/>
  </hyperlinks>
  <pageMargins left="0.7" right="0.7" top="0.75" bottom="0.75" header="0.3" footer="0.3"/>
  <pageSetup orientation="portrait" r:id="rId1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CEDC-8B42-4D32-8159-AC111E0B952B}">
  <sheetPr codeName="Sheet28">
    <tabColor theme="0" tint="-0.499984740745262"/>
  </sheetPr>
  <dimension ref="B2:C26"/>
  <sheetViews>
    <sheetView showGridLines="0" zoomScale="60" zoomScaleNormal="60" workbookViewId="0">
      <selection activeCell="B19" sqref="B19"/>
    </sheetView>
  </sheetViews>
  <sheetFormatPr baseColWidth="10" defaultColWidth="8.83203125" defaultRowHeight="15"/>
  <cols>
    <col min="1" max="1" width="5.1640625" customWidth="1"/>
    <col min="2" max="2" width="60.83203125" bestFit="1" customWidth="1"/>
  </cols>
  <sheetData>
    <row r="2" spans="2:3">
      <c r="B2" s="90" t="s">
        <v>1435</v>
      </c>
    </row>
    <row r="3" spans="2:3">
      <c r="B3" s="8"/>
    </row>
    <row r="4" spans="2:3">
      <c r="B4" s="8" t="s">
        <v>1436</v>
      </c>
      <c r="C4" t="s">
        <v>1437</v>
      </c>
    </row>
    <row r="5" spans="2:3">
      <c r="B5" s="8" t="s">
        <v>1438</v>
      </c>
      <c r="C5" t="s">
        <v>1439</v>
      </c>
    </row>
    <row r="6" spans="2:3">
      <c r="B6" s="8" t="s">
        <v>1440</v>
      </c>
      <c r="C6" t="s">
        <v>1441</v>
      </c>
    </row>
    <row r="7" spans="2:3">
      <c r="B7" s="8" t="s">
        <v>1442</v>
      </c>
      <c r="C7" t="s">
        <v>1443</v>
      </c>
    </row>
    <row r="8" spans="2:3">
      <c r="B8" s="8" t="s">
        <v>1444</v>
      </c>
      <c r="C8" t="s">
        <v>1445</v>
      </c>
    </row>
    <row r="9" spans="2:3">
      <c r="B9" s="8" t="s">
        <v>1446</v>
      </c>
      <c r="C9" t="s">
        <v>1447</v>
      </c>
    </row>
    <row r="10" spans="2:3">
      <c r="B10" s="8" t="s">
        <v>1448</v>
      </c>
      <c r="C10" t="s">
        <v>1449</v>
      </c>
    </row>
    <row r="11" spans="2:3">
      <c r="B11" s="8" t="s">
        <v>1450</v>
      </c>
      <c r="C11" t="s">
        <v>1451</v>
      </c>
    </row>
    <row r="12" spans="2:3">
      <c r="B12" s="8" t="s">
        <v>1452</v>
      </c>
      <c r="C12" t="s">
        <v>1453</v>
      </c>
    </row>
    <row r="13" spans="2:3">
      <c r="B13" s="8" t="s">
        <v>82</v>
      </c>
      <c r="C13" t="s">
        <v>1454</v>
      </c>
    </row>
    <row r="14" spans="2:3">
      <c r="B14" s="8" t="s">
        <v>1455</v>
      </c>
      <c r="C14" t="s">
        <v>1456</v>
      </c>
    </row>
    <row r="15" spans="2:3">
      <c r="B15" s="8" t="s">
        <v>1457</v>
      </c>
      <c r="C15" t="s">
        <v>1458</v>
      </c>
    </row>
    <row r="16" spans="2:3">
      <c r="B16" s="8" t="s">
        <v>1459</v>
      </c>
      <c r="C16" t="s">
        <v>1460</v>
      </c>
    </row>
    <row r="17" spans="2:3">
      <c r="B17" s="8" t="s">
        <v>492</v>
      </c>
      <c r="C17" t="s">
        <v>1461</v>
      </c>
    </row>
    <row r="18" spans="2:3">
      <c r="B18" s="8" t="s">
        <v>15</v>
      </c>
      <c r="C18" t="s">
        <v>1462</v>
      </c>
    </row>
    <row r="19" spans="2:3">
      <c r="B19" s="8" t="s">
        <v>410</v>
      </c>
      <c r="C19" t="s">
        <v>1463</v>
      </c>
    </row>
    <row r="20" spans="2:3">
      <c r="B20" s="8" t="s">
        <v>1464</v>
      </c>
      <c r="C20" t="s">
        <v>1465</v>
      </c>
    </row>
    <row r="21" spans="2:3">
      <c r="B21" s="8" t="s">
        <v>1466</v>
      </c>
      <c r="C21" t="s">
        <v>1467</v>
      </c>
    </row>
    <row r="22" spans="2:3">
      <c r="B22" s="8" t="s">
        <v>23</v>
      </c>
      <c r="C22" t="s">
        <v>1468</v>
      </c>
    </row>
    <row r="23" spans="2:3">
      <c r="B23" s="8" t="s">
        <v>30</v>
      </c>
      <c r="C23" t="s">
        <v>1469</v>
      </c>
    </row>
    <row r="24" spans="2:3">
      <c r="B24" s="8" t="s">
        <v>1470</v>
      </c>
      <c r="C24" t="s">
        <v>1471</v>
      </c>
    </row>
    <row r="25" spans="2:3">
      <c r="B25" s="8" t="s">
        <v>1472</v>
      </c>
      <c r="C25" t="s">
        <v>1473</v>
      </c>
    </row>
    <row r="26" spans="2:3">
      <c r="B26" s="8" t="s">
        <v>363</v>
      </c>
      <c r="C26" t="s">
        <v>1474</v>
      </c>
    </row>
  </sheetData>
  <sortState xmlns:xlrd2="http://schemas.microsoft.com/office/spreadsheetml/2017/richdata2" ref="B4:C26">
    <sortCondition ref="B4:B2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9038-71FE-446C-AC36-C0C2BBF5A0E2}">
  <sheetPr codeName="Sheet4">
    <tabColor theme="4" tint="0.59999389629810485"/>
  </sheetPr>
  <dimension ref="A1:J84"/>
  <sheetViews>
    <sheetView showGridLines="0" topLeftCell="A44" zoomScale="75" zoomScaleNormal="90" workbookViewId="0">
      <selection activeCell="D88" sqref="D88"/>
    </sheetView>
  </sheetViews>
  <sheetFormatPr baseColWidth="10" defaultColWidth="8.83203125" defaultRowHeight="15"/>
  <cols>
    <col min="1" max="1" width="9.1640625" customWidth="1"/>
    <col min="2" max="2" width="41.1640625" customWidth="1"/>
    <col min="3" max="3" width="19.83203125" style="21" customWidth="1"/>
    <col min="4" max="4" width="15.1640625" style="21" customWidth="1"/>
    <col min="5" max="5" width="27.5" style="21" customWidth="1"/>
    <col min="6" max="6" width="11.83203125" style="21" customWidth="1"/>
    <col min="7" max="7" width="38.5" style="21" customWidth="1"/>
    <col min="8" max="8" width="26" style="21" customWidth="1"/>
    <col min="9" max="9" width="33.83203125" style="21" customWidth="1"/>
  </cols>
  <sheetData>
    <row r="1" spans="2:9" s="1" customFormat="1">
      <c r="C1" s="2"/>
      <c r="D1" s="2"/>
      <c r="E1" s="2"/>
      <c r="F1" s="2"/>
      <c r="G1" s="2"/>
      <c r="H1" s="2"/>
      <c r="I1" s="2"/>
    </row>
    <row r="2" spans="2:9" s="1" customFormat="1" ht="15" customHeight="1">
      <c r="B2" s="19" t="s">
        <v>371</v>
      </c>
      <c r="C2" s="43"/>
      <c r="D2" s="43"/>
      <c r="E2" s="2"/>
      <c r="F2" s="2"/>
      <c r="G2" s="2"/>
      <c r="H2" s="2"/>
      <c r="I2" s="2"/>
    </row>
    <row r="3" spans="2:9" s="1" customFormat="1" ht="15" customHeight="1">
      <c r="B3" s="19" t="s">
        <v>119</v>
      </c>
      <c r="C3" s="43"/>
      <c r="D3" s="2"/>
      <c r="E3" s="2"/>
      <c r="F3" s="2"/>
      <c r="G3" s="2"/>
      <c r="H3" s="2"/>
      <c r="I3" s="2"/>
    </row>
    <row r="4" spans="2:9" s="4" customFormat="1" ht="15" customHeight="1" thickBot="1">
      <c r="C4" s="5"/>
      <c r="D4" s="5"/>
      <c r="E4" s="5"/>
      <c r="F4" s="5"/>
      <c r="G4" s="5"/>
      <c r="H4" s="5"/>
      <c r="I4" s="5"/>
    </row>
    <row r="6" spans="2:9" ht="14.25" customHeight="1"/>
    <row r="7" spans="2:9">
      <c r="B7" s="13" t="s">
        <v>120</v>
      </c>
      <c r="C7" s="35"/>
      <c r="D7" s="35"/>
      <c r="E7" s="35"/>
      <c r="F7" s="35"/>
      <c r="G7" s="35"/>
      <c r="H7" s="35"/>
      <c r="I7" s="35"/>
    </row>
    <row r="8" spans="2:9">
      <c r="B8" s="19" t="s">
        <v>47</v>
      </c>
      <c r="C8" s="24" t="s">
        <v>48</v>
      </c>
      <c r="D8" s="24" t="s">
        <v>49</v>
      </c>
      <c r="E8" s="24" t="s">
        <v>28</v>
      </c>
      <c r="F8" s="24" t="s">
        <v>50</v>
      </c>
      <c r="G8" s="24" t="s">
        <v>29</v>
      </c>
      <c r="H8" s="24" t="s">
        <v>122</v>
      </c>
      <c r="I8" s="24" t="s">
        <v>123</v>
      </c>
    </row>
    <row r="9" spans="2:9">
      <c r="B9" t="s">
        <v>124</v>
      </c>
      <c r="C9" s="42">
        <f>SUM(C10:C12)</f>
        <v>4.4000000000000004</v>
      </c>
      <c r="D9" s="21" t="s">
        <v>125</v>
      </c>
    </row>
    <row r="10" spans="2:9">
      <c r="B10" s="20" t="s">
        <v>23</v>
      </c>
      <c r="C10" s="93">
        <v>2.6</v>
      </c>
      <c r="D10" s="21" t="s">
        <v>125</v>
      </c>
      <c r="E10" s="21" t="s">
        <v>126</v>
      </c>
      <c r="F10" s="21">
        <v>2020</v>
      </c>
      <c r="G10" s="51" t="s">
        <v>127</v>
      </c>
      <c r="H10" s="21" t="s">
        <v>128</v>
      </c>
    </row>
    <row r="11" spans="2:9">
      <c r="B11" s="20" t="s">
        <v>24</v>
      </c>
      <c r="C11" s="93">
        <v>1.1000000000000001</v>
      </c>
      <c r="D11" s="21" t="s">
        <v>125</v>
      </c>
      <c r="E11" s="21" t="s">
        <v>126</v>
      </c>
      <c r="F11" s="21">
        <v>2020</v>
      </c>
      <c r="G11" s="21" t="s">
        <v>129</v>
      </c>
      <c r="H11" s="21" t="s">
        <v>128</v>
      </c>
    </row>
    <row r="12" spans="2:9">
      <c r="B12" s="20" t="s">
        <v>25</v>
      </c>
      <c r="C12" s="21">
        <v>0.7</v>
      </c>
      <c r="D12" s="21" t="s">
        <v>125</v>
      </c>
      <c r="E12" s="21" t="s">
        <v>126</v>
      </c>
      <c r="F12" s="21">
        <v>2020</v>
      </c>
      <c r="G12" s="21" t="s">
        <v>129</v>
      </c>
      <c r="H12" s="21" t="s">
        <v>130</v>
      </c>
    </row>
    <row r="13" spans="2:9">
      <c r="B13" t="s">
        <v>131</v>
      </c>
      <c r="C13" s="27">
        <v>0</v>
      </c>
      <c r="D13" s="21" t="s">
        <v>125</v>
      </c>
      <c r="E13" s="27" t="s">
        <v>52</v>
      </c>
      <c r="F13" s="27" t="s">
        <v>52</v>
      </c>
      <c r="G13" s="27" t="s">
        <v>52</v>
      </c>
      <c r="H13" s="27" t="s">
        <v>132</v>
      </c>
    </row>
    <row r="14" spans="2:9">
      <c r="B14" t="s">
        <v>133</v>
      </c>
      <c r="C14" s="98">
        <v>0.92500000000000004</v>
      </c>
      <c r="D14" s="21" t="s">
        <v>134</v>
      </c>
      <c r="E14" s="21" t="s">
        <v>51</v>
      </c>
      <c r="F14" s="21">
        <v>2022</v>
      </c>
      <c r="G14" s="51" t="s">
        <v>135</v>
      </c>
    </row>
    <row r="15" spans="2:9">
      <c r="B15" t="s">
        <v>136</v>
      </c>
      <c r="C15" s="38" t="s">
        <v>42</v>
      </c>
      <c r="D15" s="21" t="s">
        <v>125</v>
      </c>
      <c r="H15" s="21" t="s">
        <v>137</v>
      </c>
    </row>
    <row r="17" spans="1:9">
      <c r="A17" s="9"/>
      <c r="B17" s="13" t="s">
        <v>138</v>
      </c>
      <c r="C17" s="35"/>
      <c r="D17" s="35"/>
      <c r="E17" s="35"/>
      <c r="F17" s="35"/>
      <c r="G17" s="35"/>
      <c r="H17" s="35"/>
      <c r="I17" s="35"/>
    </row>
    <row r="18" spans="1:9">
      <c r="B18" s="19" t="s">
        <v>47</v>
      </c>
      <c r="C18" s="24" t="s">
        <v>48</v>
      </c>
      <c r="D18" s="24" t="s">
        <v>49</v>
      </c>
      <c r="E18" s="24" t="s">
        <v>28</v>
      </c>
      <c r="F18" s="24" t="s">
        <v>50</v>
      </c>
      <c r="G18" s="24" t="s">
        <v>29</v>
      </c>
      <c r="H18" s="24" t="s">
        <v>122</v>
      </c>
      <c r="I18" s="24" t="s">
        <v>123</v>
      </c>
    </row>
    <row r="19" spans="1:9">
      <c r="B19" t="s">
        <v>139</v>
      </c>
      <c r="C19" s="157">
        <f>SUM(C20:C22)/1000</f>
        <v>1.8838497000000001</v>
      </c>
      <c r="D19" s="21" t="s">
        <v>140</v>
      </c>
      <c r="E19" s="21" t="s">
        <v>141</v>
      </c>
      <c r="F19" s="21">
        <v>2022</v>
      </c>
      <c r="G19" s="51" t="s">
        <v>142</v>
      </c>
      <c r="H19" s="21" t="s">
        <v>143</v>
      </c>
    </row>
    <row r="20" spans="1:9">
      <c r="B20" s="20" t="s">
        <v>144</v>
      </c>
      <c r="C20" s="40">
        <v>1340</v>
      </c>
      <c r="D20" s="21" t="s">
        <v>145</v>
      </c>
      <c r="E20" s="21" t="s">
        <v>141</v>
      </c>
      <c r="F20" s="21">
        <v>2022</v>
      </c>
      <c r="G20" s="21" t="s">
        <v>146</v>
      </c>
      <c r="H20" s="27" t="s">
        <v>52</v>
      </c>
    </row>
    <row r="21" spans="1:9">
      <c r="B21" s="20" t="s">
        <v>147</v>
      </c>
      <c r="C21" s="40">
        <v>538</v>
      </c>
      <c r="D21" s="21" t="s">
        <v>145</v>
      </c>
      <c r="E21" s="21" t="s">
        <v>141</v>
      </c>
      <c r="F21" s="21">
        <v>2022</v>
      </c>
      <c r="G21" s="21" t="s">
        <v>146</v>
      </c>
      <c r="H21" s="27" t="s">
        <v>52</v>
      </c>
    </row>
    <row r="22" spans="1:9" ht="14.25" customHeight="1">
      <c r="B22" s="20" t="s">
        <v>148</v>
      </c>
      <c r="C22" s="40">
        <v>5.8497000000000003</v>
      </c>
      <c r="D22" s="21" t="s">
        <v>145</v>
      </c>
      <c r="E22" s="21" t="s">
        <v>141</v>
      </c>
      <c r="F22" s="21">
        <v>2022</v>
      </c>
      <c r="G22" s="21" t="s">
        <v>146</v>
      </c>
      <c r="H22" s="27" t="s">
        <v>52</v>
      </c>
    </row>
    <row r="23" spans="1:9">
      <c r="B23" t="s">
        <v>149</v>
      </c>
      <c r="E23" s="27" t="s">
        <v>52</v>
      </c>
      <c r="F23" s="27" t="s">
        <v>52</v>
      </c>
      <c r="G23" s="27" t="s">
        <v>52</v>
      </c>
      <c r="H23" s="27" t="s">
        <v>52</v>
      </c>
      <c r="I23" s="21" t="s">
        <v>132</v>
      </c>
    </row>
    <row r="24" spans="1:9">
      <c r="B24" s="20" t="s">
        <v>144</v>
      </c>
      <c r="C24" s="21">
        <v>0</v>
      </c>
      <c r="D24" s="21" t="s">
        <v>33</v>
      </c>
      <c r="E24" s="27" t="s">
        <v>52</v>
      </c>
      <c r="F24" s="27" t="s">
        <v>52</v>
      </c>
      <c r="G24" s="27" t="s">
        <v>52</v>
      </c>
      <c r="H24" s="27" t="s">
        <v>52</v>
      </c>
      <c r="I24" s="21" t="s">
        <v>150</v>
      </c>
    </row>
    <row r="25" spans="1:9">
      <c r="B25" s="20" t="s">
        <v>147</v>
      </c>
      <c r="C25" s="44">
        <v>0.72</v>
      </c>
      <c r="D25" s="21" t="s">
        <v>33</v>
      </c>
      <c r="E25" s="27" t="s">
        <v>151</v>
      </c>
      <c r="F25" s="27">
        <v>2020</v>
      </c>
      <c r="G25" s="27" t="s">
        <v>52</v>
      </c>
      <c r="H25" s="27" t="s">
        <v>52</v>
      </c>
      <c r="I25" s="21" t="s">
        <v>152</v>
      </c>
    </row>
    <row r="26" spans="1:9">
      <c r="B26" t="s">
        <v>153</v>
      </c>
      <c r="E26" s="27" t="s">
        <v>151</v>
      </c>
      <c r="F26" s="27" t="s">
        <v>52</v>
      </c>
      <c r="G26" s="27" t="s">
        <v>52</v>
      </c>
      <c r="H26" s="27" t="s">
        <v>52</v>
      </c>
      <c r="I26" s="21" t="s">
        <v>150</v>
      </c>
    </row>
    <row r="27" spans="1:9">
      <c r="B27" s="20" t="s">
        <v>144</v>
      </c>
      <c r="C27" s="21">
        <v>0</v>
      </c>
      <c r="D27" s="21" t="s">
        <v>33</v>
      </c>
      <c r="E27" s="27" t="s">
        <v>151</v>
      </c>
      <c r="F27" s="27" t="s">
        <v>52</v>
      </c>
      <c r="G27" s="27" t="s">
        <v>52</v>
      </c>
      <c r="H27" s="27" t="s">
        <v>52</v>
      </c>
      <c r="I27" s="21" t="s">
        <v>150</v>
      </c>
    </row>
    <row r="28" spans="1:9">
      <c r="B28" s="20" t="s">
        <v>147</v>
      </c>
      <c r="C28" s="21">
        <v>0</v>
      </c>
      <c r="D28" s="21" t="s">
        <v>33</v>
      </c>
      <c r="E28" s="27" t="s">
        <v>151</v>
      </c>
      <c r="F28" s="27" t="s">
        <v>52</v>
      </c>
      <c r="G28" s="27" t="s">
        <v>52</v>
      </c>
      <c r="H28" s="27" t="s">
        <v>52</v>
      </c>
      <c r="I28" s="21" t="s">
        <v>150</v>
      </c>
    </row>
    <row r="29" spans="1:9">
      <c r="B29" s="20"/>
      <c r="E29" s="27" t="s">
        <v>151</v>
      </c>
      <c r="F29" s="27"/>
      <c r="G29" s="27"/>
      <c r="H29" s="27"/>
    </row>
    <row r="30" spans="1:9">
      <c r="B30" s="21" t="s">
        <v>154</v>
      </c>
      <c r="C30" s="21">
        <v>610</v>
      </c>
      <c r="D30" s="21" t="s">
        <v>145</v>
      </c>
      <c r="E30" s="21" t="s">
        <v>155</v>
      </c>
      <c r="F30" s="21">
        <v>2022</v>
      </c>
      <c r="G30" s="51" t="s">
        <v>156</v>
      </c>
    </row>
    <row r="31" spans="1:9">
      <c r="B31" s="20" t="s">
        <v>157</v>
      </c>
      <c r="C31" s="78">
        <f>C30/(C19*1000)</f>
        <v>0.3238050254221449</v>
      </c>
      <c r="D31" s="21" t="s">
        <v>33</v>
      </c>
      <c r="E31" s="27" t="s">
        <v>52</v>
      </c>
      <c r="F31" s="27" t="s">
        <v>52</v>
      </c>
      <c r="G31" s="27" t="s">
        <v>52</v>
      </c>
      <c r="H31" s="27" t="s">
        <v>52</v>
      </c>
    </row>
    <row r="33" spans="1:10">
      <c r="A33" s="9"/>
      <c r="B33" s="13" t="s">
        <v>158</v>
      </c>
      <c r="C33" s="35"/>
      <c r="D33" s="35"/>
      <c r="E33" s="35"/>
      <c r="F33" s="35"/>
      <c r="G33" s="35"/>
      <c r="H33" s="35"/>
      <c r="I33" s="35"/>
    </row>
    <row r="34" spans="1:10">
      <c r="B34" s="19" t="s">
        <v>47</v>
      </c>
      <c r="C34" s="24" t="s">
        <v>48</v>
      </c>
      <c r="D34" s="24" t="s">
        <v>49</v>
      </c>
      <c r="E34" s="24" t="s">
        <v>28</v>
      </c>
      <c r="F34" s="24" t="s">
        <v>50</v>
      </c>
      <c r="G34" s="24" t="s">
        <v>29</v>
      </c>
      <c r="H34" s="24" t="s">
        <v>122</v>
      </c>
      <c r="I34" s="24" t="s">
        <v>123</v>
      </c>
    </row>
    <row r="35" spans="1:10">
      <c r="B35" t="s">
        <v>159</v>
      </c>
      <c r="C35" s="46"/>
      <c r="D35" s="52"/>
      <c r="E35" s="27"/>
      <c r="G35" s="27"/>
      <c r="H35" s="27" t="s">
        <v>52</v>
      </c>
    </row>
    <row r="36" spans="1:10">
      <c r="B36" s="20" t="s">
        <v>160</v>
      </c>
      <c r="C36" s="99">
        <v>1.41</v>
      </c>
      <c r="D36" s="52" t="s">
        <v>161</v>
      </c>
      <c r="E36" s="27" t="s">
        <v>51</v>
      </c>
      <c r="F36" s="21">
        <v>2022</v>
      </c>
      <c r="G36" s="15" t="s">
        <v>1480</v>
      </c>
      <c r="H36" s="27" t="s">
        <v>52</v>
      </c>
    </row>
    <row r="37" spans="1:10">
      <c r="B37" t="s">
        <v>164</v>
      </c>
      <c r="C37" s="21">
        <v>2.3199999999999998</v>
      </c>
      <c r="D37" s="52" t="s">
        <v>161</v>
      </c>
      <c r="E37" s="27" t="s">
        <v>141</v>
      </c>
      <c r="F37" s="21">
        <v>2021</v>
      </c>
      <c r="G37" s="15" t="s">
        <v>162</v>
      </c>
      <c r="H37" s="27" t="s">
        <v>52</v>
      </c>
      <c r="J37" s="16"/>
    </row>
    <row r="38" spans="1:10">
      <c r="B38" t="s">
        <v>165</v>
      </c>
      <c r="C38" s="21">
        <v>0.67</v>
      </c>
      <c r="D38" s="52" t="s">
        <v>161</v>
      </c>
      <c r="E38" s="27" t="s">
        <v>141</v>
      </c>
      <c r="F38" s="21">
        <v>2021</v>
      </c>
      <c r="G38" s="21" t="s">
        <v>129</v>
      </c>
      <c r="H38" s="27" t="s">
        <v>52</v>
      </c>
      <c r="J38" s="16"/>
    </row>
    <row r="39" spans="1:10">
      <c r="B39" t="s">
        <v>166</v>
      </c>
      <c r="C39" s="21">
        <v>1.65</v>
      </c>
      <c r="D39" s="52" t="s">
        <v>161</v>
      </c>
      <c r="E39" s="27" t="s">
        <v>141</v>
      </c>
      <c r="F39" s="21">
        <v>2021</v>
      </c>
      <c r="G39" s="21" t="s">
        <v>129</v>
      </c>
      <c r="H39" s="27" t="s">
        <v>52</v>
      </c>
    </row>
    <row r="40" spans="1:10">
      <c r="B40" s="8" t="s">
        <v>167</v>
      </c>
      <c r="C40" s="44"/>
      <c r="E40" s="27" t="s">
        <v>52</v>
      </c>
      <c r="F40" s="27" t="s">
        <v>52</v>
      </c>
      <c r="G40" s="27" t="s">
        <v>52</v>
      </c>
      <c r="H40" s="27" t="s">
        <v>52</v>
      </c>
    </row>
    <row r="41" spans="1:10">
      <c r="B41" t="s">
        <v>164</v>
      </c>
      <c r="C41" s="48">
        <v>0.71</v>
      </c>
      <c r="E41" s="27" t="s">
        <v>141</v>
      </c>
      <c r="F41" s="21">
        <v>2021</v>
      </c>
      <c r="G41" s="51" t="s">
        <v>162</v>
      </c>
      <c r="H41" s="27" t="s">
        <v>52</v>
      </c>
    </row>
    <row r="42" spans="1:10">
      <c r="B42" t="s">
        <v>165</v>
      </c>
      <c r="C42" s="48">
        <v>0.22</v>
      </c>
      <c r="E42" s="27" t="s">
        <v>141</v>
      </c>
      <c r="F42" s="21">
        <v>2021</v>
      </c>
      <c r="G42" s="21" t="s">
        <v>129</v>
      </c>
      <c r="H42" s="27" t="s">
        <v>52</v>
      </c>
    </row>
    <row r="43" spans="1:10">
      <c r="B43" t="s">
        <v>166</v>
      </c>
      <c r="C43" s="48">
        <v>7.0000000000000007E-2</v>
      </c>
      <c r="E43" s="27" t="s">
        <v>141</v>
      </c>
      <c r="F43" s="21">
        <v>2021</v>
      </c>
      <c r="G43" s="21" t="s">
        <v>129</v>
      </c>
      <c r="H43" s="27" t="s">
        <v>52</v>
      </c>
    </row>
    <row r="44" spans="1:10">
      <c r="B44" s="8" t="s">
        <v>168</v>
      </c>
      <c r="C44" s="98">
        <f>SUMPRODUCT(C45:C47,C41:C43)</f>
        <v>21.324399999999997</v>
      </c>
      <c r="D44" s="21" t="s">
        <v>169</v>
      </c>
      <c r="E44" s="27" t="s">
        <v>52</v>
      </c>
      <c r="F44" s="27" t="s">
        <v>52</v>
      </c>
      <c r="G44" s="27" t="s">
        <v>52</v>
      </c>
      <c r="H44" s="27" t="s">
        <v>52</v>
      </c>
    </row>
    <row r="45" spans="1:10">
      <c r="B45" t="s">
        <v>164</v>
      </c>
      <c r="C45" s="81">
        <v>24.43</v>
      </c>
      <c r="D45" s="21" t="s">
        <v>169</v>
      </c>
      <c r="E45" s="21" t="s">
        <v>141</v>
      </c>
      <c r="F45" s="21">
        <v>2021</v>
      </c>
      <c r="G45" s="51" t="s">
        <v>162</v>
      </c>
      <c r="H45" s="27" t="s">
        <v>52</v>
      </c>
      <c r="I45" s="31"/>
    </row>
    <row r="46" spans="1:10">
      <c r="B46" t="s">
        <v>165</v>
      </c>
      <c r="C46" s="81">
        <v>10.039999999999999</v>
      </c>
      <c r="D46" s="21" t="s">
        <v>169</v>
      </c>
      <c r="E46" s="21" t="s">
        <v>141</v>
      </c>
      <c r="F46" s="21">
        <v>2021</v>
      </c>
      <c r="G46" s="21" t="s">
        <v>129</v>
      </c>
      <c r="H46" s="27" t="s">
        <v>52</v>
      </c>
      <c r="I46" s="31"/>
    </row>
    <row r="47" spans="1:10">
      <c r="B47" t="s">
        <v>166</v>
      </c>
      <c r="C47" s="81">
        <v>25.29</v>
      </c>
      <c r="D47" s="21" t="s">
        <v>169</v>
      </c>
      <c r="E47" s="21" t="s">
        <v>141</v>
      </c>
      <c r="F47" s="21">
        <v>2021</v>
      </c>
      <c r="G47" s="21" t="s">
        <v>129</v>
      </c>
      <c r="H47" s="27" t="s">
        <v>52</v>
      </c>
    </row>
    <row r="48" spans="1:10">
      <c r="C48" s="47"/>
    </row>
    <row r="49" spans="1:9">
      <c r="A49" s="9"/>
      <c r="B49" s="13" t="s">
        <v>170</v>
      </c>
      <c r="C49" s="35"/>
      <c r="D49" s="35"/>
      <c r="E49" s="35"/>
      <c r="F49" s="35"/>
      <c r="G49" s="35"/>
      <c r="H49" s="35"/>
      <c r="I49" s="35"/>
    </row>
    <row r="50" spans="1:9">
      <c r="B50" s="19" t="s">
        <v>47</v>
      </c>
      <c r="C50" s="24" t="s">
        <v>48</v>
      </c>
      <c r="D50" s="24" t="s">
        <v>49</v>
      </c>
      <c r="E50" s="24" t="s">
        <v>28</v>
      </c>
      <c r="F50" s="24" t="s">
        <v>50</v>
      </c>
      <c r="G50" s="24" t="s">
        <v>29</v>
      </c>
      <c r="H50" s="24" t="s">
        <v>122</v>
      </c>
      <c r="I50" s="24" t="s">
        <v>123</v>
      </c>
    </row>
    <row r="51" spans="1:9">
      <c r="B51" t="s">
        <v>171</v>
      </c>
      <c r="C51" s="49">
        <f>SUM(C52:C56)</f>
        <v>35.4</v>
      </c>
      <c r="D51" s="21" t="s">
        <v>172</v>
      </c>
      <c r="E51" s="27" t="s">
        <v>52</v>
      </c>
      <c r="F51" s="27" t="s">
        <v>52</v>
      </c>
      <c r="G51" s="27" t="s">
        <v>52</v>
      </c>
      <c r="H51" s="27" t="s">
        <v>52</v>
      </c>
    </row>
    <row r="52" spans="1:9">
      <c r="B52" s="20" t="s">
        <v>39</v>
      </c>
      <c r="C52" s="21">
        <v>26</v>
      </c>
      <c r="D52" s="21" t="s">
        <v>172</v>
      </c>
      <c r="E52" s="21" t="s">
        <v>51</v>
      </c>
      <c r="F52" s="21">
        <v>2022</v>
      </c>
      <c r="G52" s="51" t="s">
        <v>173</v>
      </c>
      <c r="H52" s="21" t="s">
        <v>174</v>
      </c>
    </row>
    <row r="53" spans="1:9">
      <c r="B53" s="20" t="s">
        <v>15</v>
      </c>
      <c r="C53" s="21">
        <v>0.4</v>
      </c>
      <c r="D53" s="21" t="s">
        <v>172</v>
      </c>
      <c r="E53" s="21" t="s">
        <v>51</v>
      </c>
      <c r="F53" s="21">
        <v>2022</v>
      </c>
      <c r="G53" s="21" t="s">
        <v>129</v>
      </c>
      <c r="H53" s="21" t="s">
        <v>129</v>
      </c>
    </row>
    <row r="54" spans="1:9">
      <c r="B54" s="20" t="s">
        <v>26</v>
      </c>
      <c r="C54" s="21">
        <v>3</v>
      </c>
      <c r="D54" s="21" t="s">
        <v>172</v>
      </c>
      <c r="E54" s="21" t="s">
        <v>51</v>
      </c>
      <c r="F54" s="21">
        <v>2022</v>
      </c>
      <c r="G54" s="21" t="s">
        <v>129</v>
      </c>
      <c r="H54" s="21" t="s">
        <v>129</v>
      </c>
    </row>
    <row r="55" spans="1:9">
      <c r="B55" s="20" t="s">
        <v>175</v>
      </c>
      <c r="C55" s="21">
        <v>5</v>
      </c>
      <c r="D55" s="21" t="s">
        <v>172</v>
      </c>
      <c r="E55" s="21" t="s">
        <v>51</v>
      </c>
      <c r="F55" s="21">
        <v>2022</v>
      </c>
      <c r="G55" s="21" t="s">
        <v>129</v>
      </c>
      <c r="H55" s="21" t="s">
        <v>129</v>
      </c>
    </row>
    <row r="56" spans="1:9" ht="22" customHeight="1">
      <c r="B56" s="20" t="s">
        <v>32</v>
      </c>
      <c r="C56" s="21">
        <v>1</v>
      </c>
      <c r="D56" s="21" t="s">
        <v>172</v>
      </c>
      <c r="E56" s="21" t="s">
        <v>51</v>
      </c>
      <c r="F56" s="21">
        <v>2022</v>
      </c>
      <c r="G56" s="21" t="s">
        <v>129</v>
      </c>
      <c r="H56" s="21" t="s">
        <v>129</v>
      </c>
    </row>
    <row r="57" spans="1:9">
      <c r="B57" t="s">
        <v>171</v>
      </c>
    </row>
    <row r="58" spans="1:9">
      <c r="B58" s="20" t="s">
        <v>39</v>
      </c>
      <c r="C58" s="45">
        <v>0.74</v>
      </c>
      <c r="D58" s="21" t="s">
        <v>33</v>
      </c>
      <c r="E58" s="27" t="s">
        <v>51</v>
      </c>
      <c r="F58" s="27">
        <v>2020</v>
      </c>
      <c r="G58" s="27" t="s">
        <v>1482</v>
      </c>
      <c r="H58" s="27" t="s">
        <v>52</v>
      </c>
    </row>
    <row r="59" spans="1:9">
      <c r="B59" s="20" t="s">
        <v>15</v>
      </c>
      <c r="C59" s="45">
        <f>C53/$C$51</f>
        <v>1.1299435028248589E-2</v>
      </c>
      <c r="D59" s="21" t="s">
        <v>33</v>
      </c>
      <c r="E59" s="27" t="s">
        <v>51</v>
      </c>
      <c r="F59" s="27">
        <v>2020</v>
      </c>
      <c r="G59" s="27" t="s">
        <v>1482</v>
      </c>
      <c r="H59" s="27" t="s">
        <v>52</v>
      </c>
    </row>
    <row r="60" spans="1:9">
      <c r="B60" s="20" t="s">
        <v>26</v>
      </c>
      <c r="C60" s="45">
        <f t="shared" ref="C60:C62" si="0">C54/$C$51</f>
        <v>8.4745762711864417E-2</v>
      </c>
      <c r="D60" s="21" t="s">
        <v>33</v>
      </c>
      <c r="E60" s="27" t="s">
        <v>51</v>
      </c>
      <c r="F60" s="27">
        <v>2020</v>
      </c>
      <c r="G60" s="27" t="s">
        <v>1482</v>
      </c>
      <c r="H60" s="27" t="s">
        <v>52</v>
      </c>
    </row>
    <row r="61" spans="1:9">
      <c r="B61" s="20" t="s">
        <v>175</v>
      </c>
      <c r="C61" s="45">
        <f t="shared" si="0"/>
        <v>0.14124293785310735</v>
      </c>
      <c r="D61" s="21" t="s">
        <v>33</v>
      </c>
      <c r="E61" s="27" t="s">
        <v>51</v>
      </c>
      <c r="F61" s="27">
        <v>2020</v>
      </c>
      <c r="G61" s="27" t="s">
        <v>1482</v>
      </c>
      <c r="H61" s="27" t="s">
        <v>52</v>
      </c>
    </row>
    <row r="62" spans="1:9" hidden="1">
      <c r="B62" s="20" t="s">
        <v>32</v>
      </c>
      <c r="C62" s="48">
        <f t="shared" si="0"/>
        <v>2.8248587570621469E-2</v>
      </c>
      <c r="D62" s="21" t="s">
        <v>33</v>
      </c>
      <c r="E62" s="27" t="s">
        <v>51</v>
      </c>
      <c r="F62" s="27">
        <v>2020</v>
      </c>
      <c r="G62" s="27" t="s">
        <v>1482</v>
      </c>
      <c r="H62" s="27" t="s">
        <v>52</v>
      </c>
    </row>
    <row r="63" spans="1:9">
      <c r="B63" s="20" t="s">
        <v>1481</v>
      </c>
      <c r="C63" s="48">
        <v>0.03</v>
      </c>
      <c r="D63" s="21" t="s">
        <v>33</v>
      </c>
      <c r="E63" s="27" t="s">
        <v>51</v>
      </c>
      <c r="F63" s="27">
        <v>2020</v>
      </c>
      <c r="G63" s="27" t="s">
        <v>1482</v>
      </c>
      <c r="H63" s="27"/>
    </row>
    <row r="64" spans="1:9">
      <c r="B64" t="s">
        <v>176</v>
      </c>
      <c r="C64" s="95">
        <f>SUMPRODUCT(C58:C61,C65:C68)</f>
        <v>90.039432093886745</v>
      </c>
      <c r="D64" s="21" t="s">
        <v>177</v>
      </c>
      <c r="E64" s="27" t="s">
        <v>52</v>
      </c>
      <c r="F64" s="27" t="s">
        <v>52</v>
      </c>
      <c r="G64" s="27"/>
      <c r="H64" s="27" t="s">
        <v>52</v>
      </c>
    </row>
    <row r="65" spans="2:9">
      <c r="B65" s="20" t="s">
        <v>39</v>
      </c>
      <c r="C65" s="40">
        <v>90.737054939500212</v>
      </c>
      <c r="D65" s="21" t="s">
        <v>177</v>
      </c>
      <c r="E65" s="21" t="s">
        <v>178</v>
      </c>
      <c r="F65" s="21">
        <v>2022</v>
      </c>
      <c r="G65" s="51" t="s">
        <v>179</v>
      </c>
      <c r="I65" s="21" t="s">
        <v>180</v>
      </c>
    </row>
    <row r="66" spans="2:9">
      <c r="B66" s="20" t="s">
        <v>15</v>
      </c>
      <c r="C66" s="40">
        <v>70.268221021704093</v>
      </c>
      <c r="D66" s="21" t="s">
        <v>177</v>
      </c>
      <c r="E66" s="21" t="s">
        <v>178</v>
      </c>
      <c r="F66" s="21">
        <v>2022</v>
      </c>
      <c r="G66" s="21" t="s">
        <v>129</v>
      </c>
      <c r="I66" s="21" t="s">
        <v>181</v>
      </c>
    </row>
    <row r="67" spans="2:9">
      <c r="B67" s="20" t="s">
        <v>26</v>
      </c>
      <c r="C67" s="40">
        <v>50.146905506587053</v>
      </c>
      <c r="D67" s="21" t="s">
        <v>177</v>
      </c>
      <c r="E67" s="21" t="s">
        <v>178</v>
      </c>
      <c r="F67" s="21">
        <v>2022</v>
      </c>
      <c r="G67" s="21" t="s">
        <v>129</v>
      </c>
      <c r="I67" s="21" t="s">
        <v>182</v>
      </c>
    </row>
    <row r="68" spans="2:9">
      <c r="B68" s="20" t="s">
        <v>175</v>
      </c>
      <c r="C68" s="21">
        <v>126.38</v>
      </c>
      <c r="D68" s="21" t="s">
        <v>177</v>
      </c>
      <c r="E68" s="27" t="s">
        <v>51</v>
      </c>
      <c r="F68" s="27">
        <v>2022</v>
      </c>
      <c r="G68" s="60" t="s">
        <v>183</v>
      </c>
      <c r="H68" s="27" t="s">
        <v>52</v>
      </c>
    </row>
    <row r="69" spans="2:9">
      <c r="B69" s="20"/>
    </row>
    <row r="70" spans="2:9">
      <c r="B70" s="194" t="s">
        <v>184</v>
      </c>
    </row>
    <row r="71" spans="2:9">
      <c r="B71" s="20" t="s">
        <v>40</v>
      </c>
      <c r="C71" s="96">
        <v>0.4</v>
      </c>
      <c r="E71" s="21" t="s">
        <v>185</v>
      </c>
      <c r="F71" s="21">
        <v>2022</v>
      </c>
      <c r="G71" s="15" t="s">
        <v>186</v>
      </c>
      <c r="I71" s="21" t="s">
        <v>187</v>
      </c>
    </row>
    <row r="72" spans="2:9">
      <c r="B72" s="20" t="s">
        <v>75</v>
      </c>
      <c r="C72" s="96">
        <v>0.22</v>
      </c>
      <c r="E72" s="21" t="s">
        <v>185</v>
      </c>
      <c r="F72" s="21">
        <v>2022</v>
      </c>
      <c r="G72" s="15" t="s">
        <v>186</v>
      </c>
    </row>
    <row r="73" spans="2:9">
      <c r="B73" s="20" t="s">
        <v>188</v>
      </c>
      <c r="C73" s="96">
        <v>0.2</v>
      </c>
      <c r="E73" s="21" t="s">
        <v>185</v>
      </c>
      <c r="F73" s="21">
        <v>2022</v>
      </c>
      <c r="G73" s="15" t="s">
        <v>186</v>
      </c>
    </row>
    <row r="74" spans="2:9">
      <c r="B74" s="20" t="s">
        <v>189</v>
      </c>
      <c r="C74" s="96">
        <v>0.11</v>
      </c>
      <c r="E74" s="21" t="s">
        <v>185</v>
      </c>
      <c r="F74" s="21">
        <v>2022</v>
      </c>
      <c r="G74" s="15" t="s">
        <v>186</v>
      </c>
    </row>
    <row r="75" spans="2:9">
      <c r="B75" s="20" t="s">
        <v>190</v>
      </c>
      <c r="C75" s="96">
        <v>7.0000000000000007E-2</v>
      </c>
      <c r="E75" s="21" t="s">
        <v>185</v>
      </c>
      <c r="F75" s="21">
        <v>2022</v>
      </c>
      <c r="G75" s="15" t="s">
        <v>186</v>
      </c>
    </row>
    <row r="76" spans="2:9">
      <c r="B76" s="20"/>
    </row>
    <row r="77" spans="2:9">
      <c r="B77" s="13" t="s">
        <v>196</v>
      </c>
      <c r="C77" s="35"/>
      <c r="D77" s="35"/>
      <c r="E77" s="35"/>
      <c r="F77" s="35"/>
      <c r="G77" s="35"/>
      <c r="H77" s="35"/>
      <c r="I77" s="35"/>
    </row>
    <row r="78" spans="2:9">
      <c r="B78" s="19" t="s">
        <v>47</v>
      </c>
      <c r="C78" s="24" t="s">
        <v>48</v>
      </c>
      <c r="D78" s="24" t="s">
        <v>49</v>
      </c>
      <c r="E78" s="24" t="s">
        <v>28</v>
      </c>
      <c r="F78" s="24" t="s">
        <v>50</v>
      </c>
      <c r="G78" s="24" t="s">
        <v>29</v>
      </c>
      <c r="H78" s="24" t="s">
        <v>122</v>
      </c>
      <c r="I78" s="24" t="s">
        <v>123</v>
      </c>
    </row>
    <row r="79" spans="2:9">
      <c r="B79" t="s">
        <v>197</v>
      </c>
      <c r="C79" s="21">
        <v>1878</v>
      </c>
      <c r="D79" s="21" t="s">
        <v>198</v>
      </c>
      <c r="E79" s="21" t="s">
        <v>141</v>
      </c>
      <c r="F79" s="21">
        <v>2022</v>
      </c>
      <c r="G79" s="51" t="s">
        <v>199</v>
      </c>
    </row>
    <row r="80" spans="2:9">
      <c r="B80" t="s">
        <v>200</v>
      </c>
      <c r="C80" s="93">
        <v>2547</v>
      </c>
      <c r="D80" s="21" t="s">
        <v>198</v>
      </c>
      <c r="E80" s="21" t="s">
        <v>185</v>
      </c>
      <c r="F80" s="21">
        <v>2022</v>
      </c>
      <c r="G80" s="51" t="s">
        <v>127</v>
      </c>
      <c r="H80" s="21" t="s">
        <v>201</v>
      </c>
    </row>
    <row r="81" spans="2:8">
      <c r="B81" t="s">
        <v>202</v>
      </c>
      <c r="C81" s="93">
        <v>1509</v>
      </c>
      <c r="D81" s="21" t="s">
        <v>198</v>
      </c>
      <c r="E81" s="21" t="s">
        <v>185</v>
      </c>
      <c r="F81" s="21">
        <v>2022</v>
      </c>
      <c r="G81" s="51" t="s">
        <v>127</v>
      </c>
      <c r="H81" s="21" t="s">
        <v>201</v>
      </c>
    </row>
    <row r="84" spans="2:8">
      <c r="C84" s="69"/>
    </row>
  </sheetData>
  <phoneticPr fontId="16" type="noConversion"/>
  <hyperlinks>
    <hyperlink ref="G19" r:id="rId1" xr:uid="{84CACAC8-157C-4389-A980-E4DB3FABC305}"/>
    <hyperlink ref="G65" r:id="rId2" xr:uid="{5D67A428-5E7E-4C20-8EBD-FF559558D5DA}"/>
    <hyperlink ref="G10" r:id="rId3" xr:uid="{0ECD5D40-5028-4711-8005-A0E4FFD4D9D9}"/>
    <hyperlink ref="G52" r:id="rId4" xr:uid="{88995871-EB5A-49BD-A65F-24B6A16D85C4}"/>
    <hyperlink ref="G36" r:id="rId5" xr:uid="{5DEE7DC2-2DB9-4FD2-9E08-360D5DD6DC67}"/>
    <hyperlink ref="G30" r:id="rId6" xr:uid="{FA5F5393-E5E4-4297-8EB8-28C5FD92992F}"/>
    <hyperlink ref="G41" r:id="rId7" xr:uid="{7912795B-5035-4430-95F3-6DD9E90EF3C2}"/>
    <hyperlink ref="G45" r:id="rId8" location=":~:text=Steel%20companies%20from%20around%20the,performance%20on%20a%20yearly%20basis." xr:uid="{3416A7DA-2A4B-4627-B0BC-5ADC3FCBE48D}"/>
    <hyperlink ref="G68" r:id="rId9" xr:uid="{681D7E05-FE13-426A-8709-EFD13D3390C2}"/>
    <hyperlink ref="G37" r:id="rId10" location=":~:text=Steel%20companies%20from%20around%20the,performance%20on%20a%20yearly%20basis." display="https://worldsteel.org/steel-topics/sustainability/sustainability-indicators/ - :~:text=Steel%20companies%20from%20around%20the,performance%20on%20a%20yearly%20basis." xr:uid="{81BEBA2B-9D5C-4406-B8B9-C58FE02E9627}"/>
    <hyperlink ref="G14" r:id="rId11" xr:uid="{48866E86-C863-433A-AE4A-B0AC996D3501}"/>
    <hyperlink ref="G80" r:id="rId12" xr:uid="{D78F6D0D-0D38-4290-AFBF-CF47C6A3221E}"/>
    <hyperlink ref="G81" r:id="rId13" xr:uid="{0618EE1B-ECF8-458F-ADAE-B868096017D9}"/>
    <hyperlink ref="G79" r:id="rId14" xr:uid="{1833F6FC-0181-4813-8155-3F1357C133F7}"/>
    <hyperlink ref="G71" r:id="rId15" display="https://dash-mpp.plotly.host/mpp-steel-net-zero-explorer/" xr:uid="{481E0930-D49E-4F2E-9377-20EDBB8EB814}"/>
    <hyperlink ref="G72:G75" r:id="rId16" display="https://dash-mpp.plotly.host/mpp-steel-net-zero-explorer/" xr:uid="{A862B163-B963-47DA-8927-794B12FCFC57}"/>
  </hyperlinks>
  <pageMargins left="0.7" right="0.7" top="0.75" bottom="0.75" header="0.3" footer="0.3"/>
  <pageSetup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2083-577F-4932-8BE3-40D355617787}">
  <sheetPr codeName="Sheet5">
    <tabColor theme="4" tint="0.59999389629810485"/>
  </sheetPr>
  <dimension ref="A1:I143"/>
  <sheetViews>
    <sheetView showGridLines="0" topLeftCell="A6" zoomScale="70" zoomScaleNormal="80" workbookViewId="0">
      <selection activeCell="C137" sqref="C137:C141"/>
    </sheetView>
  </sheetViews>
  <sheetFormatPr baseColWidth="10" defaultColWidth="8.83203125" defaultRowHeight="15"/>
  <cols>
    <col min="2" max="2" width="58.5" style="21" customWidth="1"/>
    <col min="3" max="3" width="13.83203125" style="21" customWidth="1"/>
    <col min="4" max="4" width="17.5" style="21" customWidth="1"/>
    <col min="5" max="5" width="14.83203125" style="21" customWidth="1"/>
    <col min="6" max="6" width="11.5" style="21" customWidth="1"/>
    <col min="7" max="7" width="51.1640625" style="21" customWidth="1"/>
    <col min="8" max="9" width="22.5" style="21" customWidth="1"/>
  </cols>
  <sheetData>
    <row r="1" spans="1:9" s="1" customFormat="1">
      <c r="B1" s="2"/>
      <c r="C1" s="2"/>
      <c r="D1" s="2"/>
      <c r="E1" s="2"/>
      <c r="F1" s="2"/>
      <c r="G1" s="2"/>
      <c r="H1" s="2"/>
      <c r="I1" s="2"/>
    </row>
    <row r="2" spans="1:9" s="1" customFormat="1" ht="15" customHeight="1">
      <c r="B2" s="19" t="s">
        <v>371</v>
      </c>
      <c r="C2" s="43"/>
      <c r="D2" s="43"/>
      <c r="E2" s="2"/>
      <c r="F2" s="2"/>
      <c r="G2" s="2"/>
      <c r="H2" s="2"/>
      <c r="I2" s="2"/>
    </row>
    <row r="3" spans="1:9" s="1" customFormat="1" ht="15" customHeight="1">
      <c r="B3" s="19" t="s">
        <v>203</v>
      </c>
      <c r="C3" s="43"/>
      <c r="D3" s="2"/>
      <c r="E3" s="2"/>
      <c r="F3" s="2"/>
      <c r="G3" s="2"/>
      <c r="H3" s="2"/>
      <c r="I3" s="2"/>
    </row>
    <row r="4" spans="1:9" s="4" customFormat="1" ht="15" customHeight="1" thickBot="1">
      <c r="B4" s="5"/>
      <c r="C4" s="5"/>
      <c r="D4" s="5"/>
      <c r="E4" s="5"/>
      <c r="F4" s="5"/>
      <c r="G4" s="5"/>
      <c r="H4" s="5"/>
      <c r="I4" s="5"/>
    </row>
    <row r="6" spans="1:9" ht="14.25" customHeight="1">
      <c r="B6" s="38"/>
    </row>
    <row r="7" spans="1:9">
      <c r="A7" s="9">
        <v>1</v>
      </c>
      <c r="B7" s="53" t="s">
        <v>71</v>
      </c>
      <c r="C7" s="35"/>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row>
    <row r="11" spans="1:9">
      <c r="B11" s="20" t="s">
        <v>81</v>
      </c>
      <c r="C11" s="93" t="s">
        <v>205</v>
      </c>
      <c r="D11" s="27" t="s">
        <v>52</v>
      </c>
      <c r="E11" s="21" t="s">
        <v>126</v>
      </c>
      <c r="F11" s="21">
        <v>2022</v>
      </c>
      <c r="G11" s="51" t="s">
        <v>127</v>
      </c>
      <c r="H11" s="21" t="s">
        <v>207</v>
      </c>
      <c r="I11" s="21" t="s">
        <v>208</v>
      </c>
    </row>
    <row r="12" spans="1:9">
      <c r="B12" s="20" t="s">
        <v>83</v>
      </c>
      <c r="C12" s="21" t="s">
        <v>209</v>
      </c>
      <c r="D12" s="27" t="s">
        <v>52</v>
      </c>
      <c r="E12" s="21" t="s">
        <v>126</v>
      </c>
      <c r="F12" s="21">
        <v>2022</v>
      </c>
      <c r="G12" s="21" t="s">
        <v>129</v>
      </c>
      <c r="H12" s="21" t="s">
        <v>207</v>
      </c>
    </row>
    <row r="13" spans="1:9">
      <c r="B13" s="20" t="s">
        <v>84</v>
      </c>
      <c r="C13" s="21" t="s">
        <v>210</v>
      </c>
      <c r="D13" s="27" t="s">
        <v>52</v>
      </c>
      <c r="E13" s="21" t="s">
        <v>126</v>
      </c>
      <c r="F13" s="21">
        <v>2022</v>
      </c>
      <c r="G13" s="21" t="s">
        <v>129</v>
      </c>
      <c r="H13" s="21" t="s">
        <v>207</v>
      </c>
    </row>
    <row r="14" spans="1:9">
      <c r="B14" s="20" t="s">
        <v>85</v>
      </c>
      <c r="C14" s="21" t="s">
        <v>209</v>
      </c>
      <c r="D14" s="27" t="s">
        <v>52</v>
      </c>
      <c r="E14" s="21" t="s">
        <v>126</v>
      </c>
      <c r="F14" s="21">
        <v>2022</v>
      </c>
      <c r="G14" s="21" t="s">
        <v>129</v>
      </c>
      <c r="H14" s="21" t="s">
        <v>207</v>
      </c>
    </row>
    <row r="15" spans="1:9">
      <c r="B15" s="20" t="s">
        <v>86</v>
      </c>
      <c r="C15" s="21" t="s">
        <v>211</v>
      </c>
      <c r="D15" s="27" t="s">
        <v>52</v>
      </c>
      <c r="E15" s="21" t="s">
        <v>126</v>
      </c>
      <c r="F15" s="21">
        <v>2022</v>
      </c>
      <c r="G15" s="21" t="s">
        <v>129</v>
      </c>
      <c r="H15" s="21" t="s">
        <v>207</v>
      </c>
    </row>
    <row r="16" spans="1:9">
      <c r="B16" s="20" t="s">
        <v>87</v>
      </c>
      <c r="C16" s="21" t="s">
        <v>210</v>
      </c>
      <c r="D16" s="27" t="s">
        <v>52</v>
      </c>
      <c r="E16" s="21" t="s">
        <v>126</v>
      </c>
      <c r="F16" s="21">
        <v>2022</v>
      </c>
      <c r="G16" s="21" t="s">
        <v>129</v>
      </c>
      <c r="H16" s="21" t="s">
        <v>207</v>
      </c>
    </row>
    <row r="17" spans="2:8">
      <c r="B17" s="20" t="s">
        <v>88</v>
      </c>
      <c r="C17" s="21" t="s">
        <v>212</v>
      </c>
      <c r="D17" s="27" t="s">
        <v>52</v>
      </c>
      <c r="E17" s="21" t="s">
        <v>126</v>
      </c>
      <c r="F17" s="21">
        <v>2022</v>
      </c>
      <c r="G17" s="21" t="s">
        <v>129</v>
      </c>
      <c r="H17" s="21" t="s">
        <v>207</v>
      </c>
    </row>
    <row r="18" spans="2:8">
      <c r="B18" s="20" t="s">
        <v>89</v>
      </c>
      <c r="C18" s="21" t="s">
        <v>212</v>
      </c>
      <c r="D18" s="27" t="s">
        <v>52</v>
      </c>
      <c r="E18" s="21" t="s">
        <v>126</v>
      </c>
      <c r="F18" s="21">
        <v>2022</v>
      </c>
      <c r="G18" s="21" t="s">
        <v>129</v>
      </c>
      <c r="H18" s="21" t="s">
        <v>207</v>
      </c>
    </row>
    <row r="19" spans="2:8">
      <c r="B19" s="20" t="s">
        <v>90</v>
      </c>
      <c r="C19" s="21" t="s">
        <v>213</v>
      </c>
      <c r="D19" s="27" t="s">
        <v>52</v>
      </c>
      <c r="E19" s="21" t="s">
        <v>126</v>
      </c>
      <c r="F19" s="21">
        <v>2022</v>
      </c>
      <c r="G19" s="21" t="s">
        <v>129</v>
      </c>
      <c r="H19" s="21" t="s">
        <v>207</v>
      </c>
    </row>
    <row r="20" spans="2:8">
      <c r="B20" s="20" t="s">
        <v>91</v>
      </c>
      <c r="C20" s="21" t="s">
        <v>214</v>
      </c>
      <c r="D20" s="27" t="s">
        <v>52</v>
      </c>
      <c r="E20" s="21" t="s">
        <v>126</v>
      </c>
      <c r="F20" s="21">
        <v>2022</v>
      </c>
      <c r="G20" s="21" t="s">
        <v>129</v>
      </c>
      <c r="H20" s="21" t="s">
        <v>207</v>
      </c>
    </row>
    <row r="21" spans="2:8">
      <c r="B21" s="20" t="s">
        <v>92</v>
      </c>
      <c r="C21" s="21" t="s">
        <v>93</v>
      </c>
      <c r="D21" s="27" t="s">
        <v>52</v>
      </c>
      <c r="E21" s="21" t="s">
        <v>126</v>
      </c>
      <c r="F21" s="21">
        <v>2022</v>
      </c>
      <c r="G21" s="21" t="s">
        <v>129</v>
      </c>
      <c r="H21" s="21" t="s">
        <v>207</v>
      </c>
    </row>
    <row r="22" spans="2:8">
      <c r="B22" s="20"/>
      <c r="D22" s="27"/>
    </row>
    <row r="23" spans="2:8">
      <c r="B23" s="25" t="s">
        <v>215</v>
      </c>
    </row>
    <row r="24" spans="2:8">
      <c r="B24" s="20" t="s">
        <v>81</v>
      </c>
      <c r="C24" s="44">
        <v>0.96296296296296302</v>
      </c>
      <c r="D24" s="21" t="s">
        <v>33</v>
      </c>
      <c r="E24" s="21" t="s">
        <v>126</v>
      </c>
      <c r="F24" s="21">
        <v>2022</v>
      </c>
      <c r="G24" s="51" t="s">
        <v>127</v>
      </c>
      <c r="H24" s="21" t="s">
        <v>207</v>
      </c>
    </row>
    <row r="25" spans="2:8">
      <c r="B25" s="20" t="s">
        <v>83</v>
      </c>
      <c r="C25" s="44">
        <v>0.89711934156378603</v>
      </c>
      <c r="D25" s="21" t="s">
        <v>33</v>
      </c>
      <c r="E25" s="21" t="s">
        <v>126</v>
      </c>
      <c r="F25" s="21">
        <v>2022</v>
      </c>
      <c r="G25" s="21" t="s">
        <v>129</v>
      </c>
      <c r="H25" s="21" t="s">
        <v>207</v>
      </c>
    </row>
    <row r="26" spans="2:8">
      <c r="B26" s="20" t="s">
        <v>84</v>
      </c>
      <c r="C26" s="44">
        <v>1.2057613168724279</v>
      </c>
      <c r="D26" s="21" t="s">
        <v>33</v>
      </c>
      <c r="E26" s="21" t="s">
        <v>126</v>
      </c>
      <c r="F26" s="21">
        <v>2022</v>
      </c>
      <c r="G26" s="21" t="s">
        <v>129</v>
      </c>
      <c r="H26" s="21" t="s">
        <v>207</v>
      </c>
    </row>
    <row r="27" spans="2:8">
      <c r="B27" s="20" t="s">
        <v>85</v>
      </c>
      <c r="C27" s="44">
        <v>1.271604938271605</v>
      </c>
      <c r="D27" s="21" t="s">
        <v>33</v>
      </c>
      <c r="E27" s="21" t="s">
        <v>126</v>
      </c>
      <c r="F27" s="21">
        <v>2022</v>
      </c>
      <c r="G27" s="21" t="s">
        <v>129</v>
      </c>
      <c r="H27" s="21" t="s">
        <v>207</v>
      </c>
    </row>
    <row r="28" spans="2:8">
      <c r="B28" s="20" t="s">
        <v>86</v>
      </c>
      <c r="C28" s="44">
        <v>0.94238683127572009</v>
      </c>
      <c r="D28" s="21" t="s">
        <v>33</v>
      </c>
      <c r="E28" s="21" t="s">
        <v>126</v>
      </c>
      <c r="F28" s="21">
        <v>2022</v>
      </c>
      <c r="G28" s="21" t="s">
        <v>129</v>
      </c>
      <c r="H28" s="21" t="s">
        <v>207</v>
      </c>
    </row>
    <row r="29" spans="2:8">
      <c r="B29" s="20" t="s">
        <v>87</v>
      </c>
      <c r="C29" s="44">
        <v>0.95473251028806594</v>
      </c>
      <c r="D29" s="21" t="s">
        <v>33</v>
      </c>
      <c r="E29" s="21" t="s">
        <v>126</v>
      </c>
      <c r="F29" s="21">
        <v>2022</v>
      </c>
      <c r="G29" s="21" t="s">
        <v>129</v>
      </c>
      <c r="H29" s="21" t="s">
        <v>207</v>
      </c>
    </row>
    <row r="30" spans="2:8">
      <c r="B30" s="20" t="s">
        <v>88</v>
      </c>
      <c r="C30" s="44">
        <v>0.96707818930041145</v>
      </c>
      <c r="D30" s="21" t="s">
        <v>33</v>
      </c>
      <c r="E30" s="21" t="s">
        <v>126</v>
      </c>
      <c r="F30" s="21">
        <v>2022</v>
      </c>
      <c r="G30" s="21" t="s">
        <v>129</v>
      </c>
      <c r="H30" s="21" t="s">
        <v>207</v>
      </c>
    </row>
    <row r="31" spans="2:8">
      <c r="B31" s="20" t="s">
        <v>89</v>
      </c>
      <c r="C31" s="44">
        <v>0.9794238683127573</v>
      </c>
      <c r="D31" s="21" t="s">
        <v>33</v>
      </c>
      <c r="E31" s="21" t="s">
        <v>126</v>
      </c>
      <c r="F31" s="21">
        <v>2022</v>
      </c>
      <c r="G31" s="21" t="s">
        <v>129</v>
      </c>
      <c r="H31" s="21" t="s">
        <v>207</v>
      </c>
    </row>
    <row r="32" spans="2:8">
      <c r="B32" s="20" t="s">
        <v>90</v>
      </c>
      <c r="C32" s="44">
        <v>0.96707818930041145</v>
      </c>
      <c r="D32" s="21" t="s">
        <v>33</v>
      </c>
      <c r="E32" s="21" t="s">
        <v>126</v>
      </c>
      <c r="F32" s="21">
        <v>2022</v>
      </c>
      <c r="G32" s="21" t="s">
        <v>129</v>
      </c>
      <c r="H32" s="21" t="s">
        <v>207</v>
      </c>
    </row>
    <row r="33" spans="1:9">
      <c r="B33" s="20" t="s">
        <v>91</v>
      </c>
      <c r="C33" s="44">
        <v>0.96707818930041145</v>
      </c>
      <c r="D33" s="21" t="s">
        <v>33</v>
      </c>
      <c r="E33" s="21" t="s">
        <v>126</v>
      </c>
      <c r="F33" s="21">
        <v>2022</v>
      </c>
      <c r="G33" s="21" t="s">
        <v>129</v>
      </c>
      <c r="H33" s="21" t="s">
        <v>207</v>
      </c>
    </row>
    <row r="34" spans="1:9">
      <c r="B34" s="20" t="s">
        <v>92</v>
      </c>
      <c r="C34" s="21" t="s">
        <v>216</v>
      </c>
      <c r="D34" s="21" t="s">
        <v>33</v>
      </c>
      <c r="E34" s="21" t="s">
        <v>126</v>
      </c>
      <c r="F34" s="21">
        <v>2022</v>
      </c>
      <c r="G34" s="21" t="s">
        <v>129</v>
      </c>
      <c r="H34" s="21" t="s">
        <v>207</v>
      </c>
    </row>
    <row r="35" spans="1:9">
      <c r="B35" s="20"/>
    </row>
    <row r="36" spans="1:9">
      <c r="B36" s="25" t="s">
        <v>217</v>
      </c>
    </row>
    <row r="37" spans="1:9">
      <c r="B37" s="20" t="s">
        <v>81</v>
      </c>
      <c r="C37" s="44" t="s">
        <v>218</v>
      </c>
      <c r="D37" s="21" t="s">
        <v>33</v>
      </c>
      <c r="E37" s="21" t="s">
        <v>126</v>
      </c>
      <c r="F37" s="21">
        <v>2022</v>
      </c>
      <c r="G37" s="51" t="s">
        <v>127</v>
      </c>
      <c r="H37" s="21" t="s">
        <v>219</v>
      </c>
      <c r="I37" s="21" t="s">
        <v>220</v>
      </c>
    </row>
    <row r="38" spans="1:9">
      <c r="B38" s="20" t="s">
        <v>83</v>
      </c>
      <c r="C38" s="44" t="s">
        <v>221</v>
      </c>
      <c r="D38" s="21" t="s">
        <v>33</v>
      </c>
      <c r="E38" s="21" t="s">
        <v>126</v>
      </c>
      <c r="F38" s="21">
        <v>2022</v>
      </c>
      <c r="G38" s="21" t="s">
        <v>129</v>
      </c>
      <c r="H38" s="21" t="s">
        <v>219</v>
      </c>
    </row>
    <row r="39" spans="1:9">
      <c r="B39" s="20" t="s">
        <v>84</v>
      </c>
      <c r="C39" s="44" t="s">
        <v>222</v>
      </c>
      <c r="D39" s="21" t="s">
        <v>33</v>
      </c>
      <c r="E39" s="21" t="s">
        <v>126</v>
      </c>
      <c r="F39" s="21">
        <v>2022</v>
      </c>
      <c r="G39" s="21" t="s">
        <v>129</v>
      </c>
      <c r="H39" s="21" t="s">
        <v>219</v>
      </c>
    </row>
    <row r="40" spans="1:9">
      <c r="B40" s="20" t="s">
        <v>85</v>
      </c>
      <c r="C40" s="44" t="s">
        <v>223</v>
      </c>
      <c r="D40" s="21" t="s">
        <v>33</v>
      </c>
      <c r="E40" s="21" t="s">
        <v>126</v>
      </c>
      <c r="F40" s="21">
        <v>2022</v>
      </c>
      <c r="G40" s="21" t="s">
        <v>129</v>
      </c>
      <c r="H40" s="21" t="s">
        <v>219</v>
      </c>
    </row>
    <row r="41" spans="1:9">
      <c r="B41" s="20" t="s">
        <v>86</v>
      </c>
      <c r="C41" s="44" t="s">
        <v>224</v>
      </c>
      <c r="D41" s="21" t="s">
        <v>33</v>
      </c>
      <c r="E41" s="21" t="s">
        <v>126</v>
      </c>
      <c r="F41" s="21">
        <v>2022</v>
      </c>
      <c r="G41" s="21" t="s">
        <v>129</v>
      </c>
      <c r="H41" s="21" t="s">
        <v>219</v>
      </c>
    </row>
    <row r="42" spans="1:9">
      <c r="B42" s="20" t="s">
        <v>87</v>
      </c>
      <c r="C42" s="54" t="s">
        <v>225</v>
      </c>
      <c r="D42" s="21" t="s">
        <v>33</v>
      </c>
      <c r="E42" s="21" t="s">
        <v>126</v>
      </c>
      <c r="F42" s="21">
        <v>2022</v>
      </c>
      <c r="G42" s="21" t="s">
        <v>129</v>
      </c>
      <c r="H42" s="21" t="s">
        <v>219</v>
      </c>
    </row>
    <row r="43" spans="1:9">
      <c r="B43" s="20" t="s">
        <v>88</v>
      </c>
      <c r="C43" s="44" t="s">
        <v>226</v>
      </c>
      <c r="D43" s="21" t="s">
        <v>33</v>
      </c>
      <c r="E43" s="21" t="s">
        <v>126</v>
      </c>
      <c r="F43" s="21">
        <v>2022</v>
      </c>
      <c r="G43" s="21" t="s">
        <v>129</v>
      </c>
      <c r="H43" s="21" t="s">
        <v>219</v>
      </c>
    </row>
    <row r="44" spans="1:9">
      <c r="B44" s="20" t="s">
        <v>89</v>
      </c>
      <c r="C44" s="44" t="s">
        <v>227</v>
      </c>
      <c r="D44" s="21" t="s">
        <v>33</v>
      </c>
      <c r="E44" s="21" t="s">
        <v>126</v>
      </c>
      <c r="F44" s="21">
        <v>2022</v>
      </c>
      <c r="G44" s="21" t="s">
        <v>129</v>
      </c>
      <c r="H44" s="21" t="s">
        <v>219</v>
      </c>
    </row>
    <row r="45" spans="1:9">
      <c r="B45" s="20" t="s">
        <v>90</v>
      </c>
      <c r="C45" s="44" t="s">
        <v>228</v>
      </c>
      <c r="D45" s="21" t="s">
        <v>33</v>
      </c>
      <c r="E45" s="21" t="s">
        <v>126</v>
      </c>
      <c r="F45" s="21">
        <v>2022</v>
      </c>
      <c r="G45" s="21" t="s">
        <v>129</v>
      </c>
      <c r="H45" s="21" t="s">
        <v>219</v>
      </c>
    </row>
    <row r="46" spans="1:9">
      <c r="B46" s="20" t="s">
        <v>91</v>
      </c>
      <c r="C46" s="44" t="s">
        <v>228</v>
      </c>
      <c r="D46" s="21" t="s">
        <v>33</v>
      </c>
      <c r="E46" s="21" t="s">
        <v>126</v>
      </c>
      <c r="F46" s="21">
        <v>2022</v>
      </c>
      <c r="G46" s="21" t="s">
        <v>129</v>
      </c>
      <c r="H46" s="21" t="s">
        <v>219</v>
      </c>
    </row>
    <row r="47" spans="1:9">
      <c r="B47" s="20" t="s">
        <v>92</v>
      </c>
      <c r="C47" s="44" t="s">
        <v>229</v>
      </c>
      <c r="D47" s="21" t="s">
        <v>33</v>
      </c>
      <c r="E47" s="21" t="s">
        <v>126</v>
      </c>
      <c r="F47" s="21">
        <v>2022</v>
      </c>
      <c r="G47" s="21" t="s">
        <v>129</v>
      </c>
      <c r="H47" s="21" t="s">
        <v>219</v>
      </c>
    </row>
    <row r="48" spans="1:9">
      <c r="A48" s="17"/>
      <c r="B48" s="20" t="s">
        <v>230</v>
      </c>
      <c r="C48" s="100" t="s">
        <v>231</v>
      </c>
      <c r="D48" s="21" t="s">
        <v>33</v>
      </c>
      <c r="I48" s="21" t="s">
        <v>232</v>
      </c>
    </row>
    <row r="49" spans="1:9">
      <c r="B49" s="20"/>
      <c r="D49" s="27"/>
      <c r="E49" s="27"/>
      <c r="F49" s="27"/>
      <c r="G49" s="27"/>
      <c r="H49" s="27"/>
    </row>
    <row r="50" spans="1:9">
      <c r="B50" s="25" t="s">
        <v>236</v>
      </c>
    </row>
    <row r="51" spans="1:9">
      <c r="B51" s="20" t="s">
        <v>81</v>
      </c>
      <c r="C51" s="21" t="s">
        <v>237</v>
      </c>
      <c r="E51" s="21" t="s">
        <v>234</v>
      </c>
      <c r="F51" s="21">
        <v>2022</v>
      </c>
      <c r="G51" s="21" t="s">
        <v>238</v>
      </c>
      <c r="H51" s="21" t="s">
        <v>239</v>
      </c>
    </row>
    <row r="52" spans="1:9">
      <c r="B52" s="20" t="s">
        <v>83</v>
      </c>
      <c r="D52" s="27" t="s">
        <v>52</v>
      </c>
      <c r="E52" s="27" t="s">
        <v>52</v>
      </c>
      <c r="F52" s="27" t="s">
        <v>52</v>
      </c>
      <c r="G52" s="27" t="s">
        <v>52</v>
      </c>
    </row>
    <row r="53" spans="1:9">
      <c r="B53" s="20" t="s">
        <v>84</v>
      </c>
      <c r="D53" s="27" t="s">
        <v>52</v>
      </c>
      <c r="E53" s="27" t="s">
        <v>52</v>
      </c>
      <c r="F53" s="27" t="s">
        <v>52</v>
      </c>
      <c r="G53" s="27" t="s">
        <v>52</v>
      </c>
    </row>
    <row r="54" spans="1:9">
      <c r="B54" s="20" t="s">
        <v>85</v>
      </c>
      <c r="D54" s="27" t="s">
        <v>52</v>
      </c>
      <c r="E54" s="27" t="s">
        <v>52</v>
      </c>
      <c r="F54" s="27" t="s">
        <v>52</v>
      </c>
      <c r="G54" s="27" t="s">
        <v>52</v>
      </c>
    </row>
    <row r="55" spans="1:9">
      <c r="B55" s="20" t="s">
        <v>86</v>
      </c>
      <c r="D55" s="27" t="s">
        <v>52</v>
      </c>
      <c r="E55" s="27" t="s">
        <v>52</v>
      </c>
      <c r="F55" s="27" t="s">
        <v>52</v>
      </c>
      <c r="G55" s="27" t="s">
        <v>52</v>
      </c>
    </row>
    <row r="56" spans="1:9">
      <c r="B56" s="20" t="s">
        <v>87</v>
      </c>
      <c r="D56" s="27" t="s">
        <v>52</v>
      </c>
      <c r="E56" s="27" t="s">
        <v>52</v>
      </c>
      <c r="F56" s="27" t="s">
        <v>52</v>
      </c>
      <c r="G56" s="27" t="s">
        <v>52</v>
      </c>
    </row>
    <row r="57" spans="1:9">
      <c r="B57" s="20" t="s">
        <v>88</v>
      </c>
      <c r="D57" s="27" t="s">
        <v>52</v>
      </c>
      <c r="E57" s="27" t="s">
        <v>52</v>
      </c>
      <c r="F57" s="27" t="s">
        <v>52</v>
      </c>
      <c r="G57" s="27" t="s">
        <v>52</v>
      </c>
    </row>
    <row r="58" spans="1:9">
      <c r="B58" s="20" t="s">
        <v>89</v>
      </c>
      <c r="D58" s="27" t="s">
        <v>52</v>
      </c>
      <c r="E58" s="27" t="s">
        <v>52</v>
      </c>
      <c r="F58" s="27" t="s">
        <v>52</v>
      </c>
      <c r="G58" s="27" t="s">
        <v>52</v>
      </c>
    </row>
    <row r="59" spans="1:9">
      <c r="B59" s="20" t="s">
        <v>90</v>
      </c>
      <c r="D59" s="27" t="s">
        <v>52</v>
      </c>
      <c r="E59" s="27" t="s">
        <v>52</v>
      </c>
      <c r="F59" s="27" t="s">
        <v>52</v>
      </c>
      <c r="G59" s="27" t="s">
        <v>52</v>
      </c>
    </row>
    <row r="60" spans="1:9">
      <c r="B60" s="20" t="s">
        <v>91</v>
      </c>
      <c r="D60" s="27" t="s">
        <v>52</v>
      </c>
      <c r="E60" s="27" t="s">
        <v>52</v>
      </c>
      <c r="F60" s="27" t="s">
        <v>52</v>
      </c>
      <c r="G60" s="27" t="s">
        <v>52</v>
      </c>
    </row>
    <row r="61" spans="1:9">
      <c r="B61" s="20" t="s">
        <v>92</v>
      </c>
      <c r="C61" s="21" t="s">
        <v>237</v>
      </c>
      <c r="D61" s="27" t="s">
        <v>52</v>
      </c>
      <c r="E61" s="21" t="s">
        <v>234</v>
      </c>
      <c r="F61" s="21">
        <v>2022</v>
      </c>
      <c r="G61" s="21" t="s">
        <v>238</v>
      </c>
      <c r="H61" s="21" t="s">
        <v>132</v>
      </c>
    </row>
    <row r="63" spans="1:9">
      <c r="A63" s="9">
        <v>2</v>
      </c>
      <c r="B63" s="53" t="s">
        <v>82</v>
      </c>
      <c r="C63" s="35"/>
      <c r="D63" s="35"/>
      <c r="E63" s="35"/>
      <c r="F63" s="35"/>
      <c r="G63" s="35"/>
      <c r="H63" s="35"/>
      <c r="I63" s="35"/>
    </row>
    <row r="64" spans="1:9">
      <c r="B64" s="24" t="s">
        <v>47</v>
      </c>
      <c r="C64" s="24" t="s">
        <v>48</v>
      </c>
      <c r="D64" s="24" t="s">
        <v>49</v>
      </c>
      <c r="E64" s="24" t="s">
        <v>28</v>
      </c>
      <c r="F64" s="24" t="s">
        <v>50</v>
      </c>
      <c r="G64" s="24" t="s">
        <v>29</v>
      </c>
      <c r="H64" s="24" t="s">
        <v>122</v>
      </c>
      <c r="I64" s="24" t="s">
        <v>123</v>
      </c>
    </row>
    <row r="66" spans="2:9">
      <c r="B66" s="25" t="s">
        <v>240</v>
      </c>
      <c r="C66" s="21">
        <f>'STE-P'!C80</f>
        <v>2547</v>
      </c>
      <c r="D66" s="21" t="s">
        <v>61</v>
      </c>
      <c r="E66" s="21" t="s">
        <v>185</v>
      </c>
      <c r="F66" s="21">
        <v>2022</v>
      </c>
      <c r="G66" s="51" t="s">
        <v>127</v>
      </c>
      <c r="H66" s="21" t="s">
        <v>241</v>
      </c>
    </row>
    <row r="67" spans="2:9">
      <c r="B67" s="20" t="s">
        <v>242</v>
      </c>
      <c r="C67" s="44" t="s">
        <v>243</v>
      </c>
      <c r="D67" s="21" t="s">
        <v>33</v>
      </c>
      <c r="E67" s="21" t="s">
        <v>126</v>
      </c>
      <c r="F67" s="21">
        <v>2022</v>
      </c>
      <c r="G67" s="51" t="s">
        <v>244</v>
      </c>
      <c r="H67" s="27" t="s">
        <v>52</v>
      </c>
      <c r="I67" s="21" t="s">
        <v>245</v>
      </c>
    </row>
    <row r="68" spans="2:9">
      <c r="B68" s="20" t="s">
        <v>246</v>
      </c>
      <c r="C68" s="44" t="s">
        <v>247</v>
      </c>
      <c r="D68" s="21" t="s">
        <v>33</v>
      </c>
      <c r="E68" s="21" t="s">
        <v>126</v>
      </c>
      <c r="F68" s="21">
        <v>2022</v>
      </c>
      <c r="G68" s="21" t="s">
        <v>129</v>
      </c>
      <c r="H68" s="27" t="s">
        <v>52</v>
      </c>
      <c r="I68" s="21" t="s">
        <v>248</v>
      </c>
    </row>
    <row r="69" spans="2:9">
      <c r="B69" s="20" t="s">
        <v>249</v>
      </c>
      <c r="C69" s="44">
        <v>0</v>
      </c>
      <c r="D69" s="21" t="s">
        <v>33</v>
      </c>
      <c r="E69" s="21" t="s">
        <v>126</v>
      </c>
      <c r="F69" s="21">
        <v>2022</v>
      </c>
      <c r="G69" s="21" t="s">
        <v>129</v>
      </c>
      <c r="H69" s="27" t="s">
        <v>52</v>
      </c>
      <c r="I69" s="21" t="s">
        <v>250</v>
      </c>
    </row>
    <row r="70" spans="2:9">
      <c r="B70" s="20" t="s">
        <v>251</v>
      </c>
      <c r="C70" s="44" t="s">
        <v>252</v>
      </c>
      <c r="D70" s="21" t="s">
        <v>33</v>
      </c>
      <c r="E70" s="21" t="s">
        <v>126</v>
      </c>
      <c r="F70" s="21">
        <v>2022</v>
      </c>
      <c r="G70" s="21" t="s">
        <v>129</v>
      </c>
      <c r="H70" s="27" t="s">
        <v>52</v>
      </c>
      <c r="I70" s="21" t="s">
        <v>253</v>
      </c>
    </row>
    <row r="72" spans="2:9">
      <c r="B72" s="25" t="s">
        <v>254</v>
      </c>
    </row>
    <row r="73" spans="2:9">
      <c r="B73" s="40" t="s">
        <v>255</v>
      </c>
      <c r="C73" s="55">
        <f>C74/365/24*1000/0.32</f>
        <v>832.61986301369859</v>
      </c>
      <c r="D73" s="21" t="s">
        <v>43</v>
      </c>
      <c r="E73" s="27" t="s">
        <v>52</v>
      </c>
      <c r="F73" s="21">
        <v>2022</v>
      </c>
      <c r="G73" s="27" t="s">
        <v>52</v>
      </c>
      <c r="H73" s="27" t="s">
        <v>52</v>
      </c>
    </row>
    <row r="74" spans="2:9">
      <c r="B74" s="29" t="s">
        <v>255</v>
      </c>
      <c r="C74" s="56">
        <v>2334</v>
      </c>
      <c r="D74" s="21" t="s">
        <v>256</v>
      </c>
      <c r="E74" s="21" t="s">
        <v>126</v>
      </c>
      <c r="F74" s="21">
        <v>2022</v>
      </c>
      <c r="G74" s="51" t="s">
        <v>244</v>
      </c>
      <c r="H74" s="27" t="s">
        <v>52</v>
      </c>
      <c r="I74" s="21" t="s">
        <v>257</v>
      </c>
    </row>
    <row r="75" spans="2:9">
      <c r="B75" s="40" t="s">
        <v>258</v>
      </c>
      <c r="C75" s="46">
        <v>1.95</v>
      </c>
      <c r="D75" s="40" t="s">
        <v>259</v>
      </c>
      <c r="E75" s="21" t="s">
        <v>260</v>
      </c>
      <c r="F75" s="21">
        <v>2021</v>
      </c>
      <c r="G75" s="51" t="s">
        <v>261</v>
      </c>
      <c r="H75" s="21" t="s">
        <v>262</v>
      </c>
      <c r="I75" s="21" t="s">
        <v>263</v>
      </c>
    </row>
    <row r="76" spans="2:9">
      <c r="B76" s="29" t="s">
        <v>264</v>
      </c>
      <c r="C76" s="84" t="s">
        <v>52</v>
      </c>
      <c r="D76" s="40" t="s">
        <v>33</v>
      </c>
      <c r="E76" s="21" t="s">
        <v>51</v>
      </c>
      <c r="F76" s="21">
        <v>2022</v>
      </c>
      <c r="G76" s="51" t="s">
        <v>19</v>
      </c>
      <c r="H76" s="21" t="s">
        <v>265</v>
      </c>
    </row>
    <row r="77" spans="2:9">
      <c r="B77" s="20" t="s">
        <v>266</v>
      </c>
      <c r="C77" s="21">
        <v>4.5</v>
      </c>
      <c r="D77" s="21" t="s">
        <v>267</v>
      </c>
      <c r="E77" s="21" t="s">
        <v>268</v>
      </c>
      <c r="F77" s="21">
        <v>2020</v>
      </c>
      <c r="G77" s="51" t="s">
        <v>269</v>
      </c>
      <c r="H77" s="21" t="s">
        <v>270</v>
      </c>
      <c r="I77" s="21" t="s">
        <v>271</v>
      </c>
    </row>
    <row r="78" spans="2:9">
      <c r="B78" s="40" t="s">
        <v>272</v>
      </c>
      <c r="C78" s="95">
        <f>C75*C73</f>
        <v>1623.6087328767121</v>
      </c>
      <c r="D78" s="21" t="s">
        <v>273</v>
      </c>
      <c r="E78" s="27"/>
      <c r="G78" s="27"/>
    </row>
    <row r="79" spans="2:9">
      <c r="B79" s="29"/>
    </row>
    <row r="80" spans="2:9">
      <c r="B80" s="25" t="s">
        <v>274</v>
      </c>
    </row>
    <row r="81" spans="2:9">
      <c r="B81" s="40" t="s">
        <v>275</v>
      </c>
      <c r="C81" s="49">
        <f>C82*3600/120/1000</f>
        <v>51.48</v>
      </c>
      <c r="D81" s="40" t="s">
        <v>44</v>
      </c>
      <c r="E81" s="27" t="s">
        <v>52</v>
      </c>
      <c r="F81" s="27" t="s">
        <v>52</v>
      </c>
      <c r="G81" s="27" t="s">
        <v>52</v>
      </c>
      <c r="H81" s="27" t="s">
        <v>52</v>
      </c>
      <c r="I81" s="40" t="s">
        <v>276</v>
      </c>
    </row>
    <row r="82" spans="2:9">
      <c r="B82" s="29" t="s">
        <v>275</v>
      </c>
      <c r="C82" s="56">
        <f>52*33</f>
        <v>1716</v>
      </c>
      <c r="D82" s="21" t="s">
        <v>277</v>
      </c>
      <c r="E82" s="21" t="s">
        <v>126</v>
      </c>
      <c r="F82" s="21">
        <v>2022</v>
      </c>
      <c r="G82" s="51" t="s">
        <v>244</v>
      </c>
    </row>
    <row r="83" spans="2:9">
      <c r="B83" s="40" t="s">
        <v>255</v>
      </c>
      <c r="C83" s="49">
        <f>C84*3600/120/1000</f>
        <v>74.25</v>
      </c>
      <c r="D83" s="40" t="s">
        <v>278</v>
      </c>
      <c r="E83" s="27" t="s">
        <v>52</v>
      </c>
      <c r="F83" s="27" t="s">
        <v>52</v>
      </c>
      <c r="G83" s="27" t="s">
        <v>52</v>
      </c>
      <c r="H83" s="27" t="s">
        <v>52</v>
      </c>
      <c r="I83" s="40" t="s">
        <v>276</v>
      </c>
    </row>
    <row r="84" spans="2:9">
      <c r="B84" s="29" t="s">
        <v>255</v>
      </c>
      <c r="C84" s="56">
        <f>75*33</f>
        <v>2475</v>
      </c>
      <c r="D84" s="21" t="s">
        <v>277</v>
      </c>
      <c r="E84" s="21" t="s">
        <v>126</v>
      </c>
      <c r="F84" s="21">
        <v>2022</v>
      </c>
      <c r="G84" s="51" t="s">
        <v>244</v>
      </c>
      <c r="H84" s="21" t="s">
        <v>279</v>
      </c>
    </row>
    <row r="85" spans="2:9" ht="16">
      <c r="B85" s="41" t="s">
        <v>280</v>
      </c>
      <c r="C85" s="98">
        <f>C87*$C$83</f>
        <v>891</v>
      </c>
      <c r="D85" s="40" t="s">
        <v>53</v>
      </c>
      <c r="F85" s="21">
        <v>2021</v>
      </c>
      <c r="G85" s="27" t="s">
        <v>52</v>
      </c>
      <c r="H85" s="27" t="s">
        <v>52</v>
      </c>
      <c r="I85" s="21" t="s">
        <v>281</v>
      </c>
    </row>
    <row r="86" spans="2:9" ht="16">
      <c r="B86" s="41" t="s">
        <v>282</v>
      </c>
      <c r="C86" s="98">
        <f>C88*$C$81</f>
        <v>205.92</v>
      </c>
      <c r="D86" s="40" t="s">
        <v>53</v>
      </c>
      <c r="F86" s="21">
        <v>2021</v>
      </c>
      <c r="G86" s="27" t="s">
        <v>52</v>
      </c>
      <c r="H86" s="27" t="s">
        <v>52</v>
      </c>
      <c r="I86" s="21" t="s">
        <v>281</v>
      </c>
    </row>
    <row r="87" spans="2:9">
      <c r="B87" s="29" t="s">
        <v>283</v>
      </c>
      <c r="C87" s="21">
        <v>12</v>
      </c>
      <c r="D87" s="40" t="s">
        <v>284</v>
      </c>
      <c r="E87" s="21" t="s">
        <v>285</v>
      </c>
      <c r="F87" s="21">
        <v>2023</v>
      </c>
      <c r="G87" s="27" t="s">
        <v>1483</v>
      </c>
      <c r="H87" s="27" t="s">
        <v>52</v>
      </c>
      <c r="I87" s="27" t="s">
        <v>286</v>
      </c>
    </row>
    <row r="88" spans="2:9">
      <c r="B88" s="29" t="s">
        <v>287</v>
      </c>
      <c r="C88" s="21">
        <v>4</v>
      </c>
      <c r="D88" s="40" t="s">
        <v>284</v>
      </c>
      <c r="E88" s="21" t="s">
        <v>285</v>
      </c>
      <c r="F88" s="21">
        <v>2023</v>
      </c>
      <c r="G88" s="27" t="s">
        <v>1483</v>
      </c>
      <c r="H88" s="27" t="s">
        <v>52</v>
      </c>
      <c r="I88" s="27" t="s">
        <v>286</v>
      </c>
    </row>
    <row r="90" spans="2:9">
      <c r="B90" s="25" t="s">
        <v>288</v>
      </c>
    </row>
    <row r="91" spans="2:9">
      <c r="B91" s="25" t="s">
        <v>289</v>
      </c>
      <c r="C91" s="57">
        <v>753</v>
      </c>
      <c r="D91" s="21" t="s">
        <v>44</v>
      </c>
      <c r="E91" s="51"/>
      <c r="F91" s="21">
        <v>2022</v>
      </c>
      <c r="G91" s="51" t="s">
        <v>244</v>
      </c>
      <c r="H91" s="21" t="s">
        <v>290</v>
      </c>
      <c r="I91" s="21" t="s">
        <v>291</v>
      </c>
    </row>
    <row r="92" spans="2:9">
      <c r="B92" s="25" t="s">
        <v>292</v>
      </c>
      <c r="C92" s="57">
        <v>552</v>
      </c>
      <c r="D92" s="21" t="s">
        <v>44</v>
      </c>
      <c r="E92" s="51"/>
      <c r="F92" s="21">
        <v>2022</v>
      </c>
      <c r="G92" s="51" t="s">
        <v>244</v>
      </c>
      <c r="H92" s="21" t="s">
        <v>290</v>
      </c>
      <c r="I92" s="21" t="s">
        <v>293</v>
      </c>
    </row>
    <row r="93" spans="2:9">
      <c r="B93" s="20" t="s">
        <v>294</v>
      </c>
      <c r="C93" s="95">
        <f>C91*C95/1000</f>
        <v>131.77500000000001</v>
      </c>
      <c r="D93" s="21" t="s">
        <v>295</v>
      </c>
      <c r="E93" s="27" t="s">
        <v>52</v>
      </c>
      <c r="F93" s="27" t="s">
        <v>52</v>
      </c>
      <c r="G93" s="27" t="s">
        <v>52</v>
      </c>
      <c r="H93" s="27" t="s">
        <v>52</v>
      </c>
      <c r="I93" s="21" t="s">
        <v>281</v>
      </c>
    </row>
    <row r="94" spans="2:9">
      <c r="B94" s="20" t="s">
        <v>296</v>
      </c>
      <c r="C94" s="95">
        <f>C92*C96/1000</f>
        <v>44.16</v>
      </c>
      <c r="D94" s="21" t="s">
        <v>295</v>
      </c>
      <c r="E94" s="27" t="s">
        <v>52</v>
      </c>
      <c r="F94" s="27" t="s">
        <v>52</v>
      </c>
      <c r="G94" s="27" t="s">
        <v>52</v>
      </c>
      <c r="H94" s="27" t="s">
        <v>52</v>
      </c>
      <c r="I94" s="21" t="s">
        <v>281</v>
      </c>
    </row>
    <row r="95" spans="2:9">
      <c r="B95" s="20" t="s">
        <v>283</v>
      </c>
      <c r="C95" s="21">
        <v>175</v>
      </c>
      <c r="D95" s="21" t="s">
        <v>297</v>
      </c>
      <c r="E95" s="21" t="s">
        <v>298</v>
      </c>
      <c r="G95" s="21" t="s">
        <v>299</v>
      </c>
      <c r="H95" s="21" t="s">
        <v>300</v>
      </c>
      <c r="I95" s="21" t="s">
        <v>301</v>
      </c>
    </row>
    <row r="96" spans="2:9">
      <c r="B96" s="20" t="s">
        <v>302</v>
      </c>
      <c r="C96" s="21">
        <v>80</v>
      </c>
      <c r="D96" s="21" t="s">
        <v>297</v>
      </c>
      <c r="E96" s="21" t="s">
        <v>298</v>
      </c>
      <c r="G96" s="21" t="s">
        <v>299</v>
      </c>
      <c r="H96" s="21" t="s">
        <v>300</v>
      </c>
      <c r="I96" s="21" t="s">
        <v>303</v>
      </c>
    </row>
    <row r="98" spans="1:9">
      <c r="A98" s="9">
        <v>3</v>
      </c>
      <c r="B98" s="53" t="s">
        <v>62</v>
      </c>
      <c r="C98" s="35"/>
      <c r="D98" s="35"/>
      <c r="E98" s="35"/>
      <c r="F98" s="35"/>
      <c r="G98" s="35"/>
      <c r="H98" s="35"/>
      <c r="I98" s="35"/>
    </row>
    <row r="99" spans="1:9">
      <c r="B99" s="24" t="s">
        <v>47</v>
      </c>
      <c r="C99" s="24" t="s">
        <v>48</v>
      </c>
      <c r="D99" s="24" t="s">
        <v>49</v>
      </c>
      <c r="E99" s="24" t="s">
        <v>28</v>
      </c>
      <c r="F99" s="24" t="s">
        <v>50</v>
      </c>
      <c r="G99" s="24" t="s">
        <v>29</v>
      </c>
      <c r="H99" s="24" t="s">
        <v>122</v>
      </c>
      <c r="I99" s="24" t="s">
        <v>123</v>
      </c>
    </row>
    <row r="101" spans="1:9">
      <c r="B101" s="21" t="s">
        <v>304</v>
      </c>
      <c r="C101" s="21" t="s">
        <v>237</v>
      </c>
      <c r="D101" s="21" t="s">
        <v>33</v>
      </c>
      <c r="E101" s="21" t="s">
        <v>305</v>
      </c>
      <c r="F101" s="21">
        <v>2021</v>
      </c>
      <c r="G101" s="21" t="s">
        <v>306</v>
      </c>
      <c r="H101" s="27" t="s">
        <v>52</v>
      </c>
    </row>
    <row r="102" spans="1:9">
      <c r="B102" s="21" t="s">
        <v>307</v>
      </c>
      <c r="C102" s="96">
        <v>0.4</v>
      </c>
      <c r="D102" s="21" t="s">
        <v>33</v>
      </c>
      <c r="E102" s="21" t="s">
        <v>126</v>
      </c>
      <c r="F102" s="21">
        <v>2021</v>
      </c>
      <c r="G102" s="51" t="s">
        <v>308</v>
      </c>
      <c r="I102" s="21" t="s">
        <v>309</v>
      </c>
    </row>
    <row r="103" spans="1:9">
      <c r="B103" s="21" t="s">
        <v>307</v>
      </c>
      <c r="C103" s="96">
        <v>0.73</v>
      </c>
      <c r="D103" s="21" t="s">
        <v>33</v>
      </c>
      <c r="E103" s="21" t="s">
        <v>126</v>
      </c>
      <c r="F103" s="21">
        <v>2021</v>
      </c>
      <c r="G103" s="21" t="s">
        <v>129</v>
      </c>
      <c r="H103" s="21" t="s">
        <v>310</v>
      </c>
      <c r="I103" s="21" t="s">
        <v>309</v>
      </c>
    </row>
    <row r="105" spans="1:9">
      <c r="B105" s="21" t="s">
        <v>311</v>
      </c>
      <c r="C105" s="40">
        <v>983.75</v>
      </c>
      <c r="D105" s="21" t="s">
        <v>312</v>
      </c>
      <c r="E105" s="60" t="s">
        <v>52</v>
      </c>
      <c r="F105" s="21">
        <v>2022</v>
      </c>
      <c r="G105" s="61" t="s">
        <v>313</v>
      </c>
    </row>
    <row r="106" spans="1:9">
      <c r="B106" s="21" t="s">
        <v>314</v>
      </c>
      <c r="C106" s="21">
        <v>1878</v>
      </c>
      <c r="D106" s="21" t="s">
        <v>61</v>
      </c>
      <c r="E106" s="60"/>
      <c r="G106" s="61"/>
      <c r="I106" s="21" t="s">
        <v>315</v>
      </c>
    </row>
    <row r="107" spans="1:9">
      <c r="B107" s="21" t="s">
        <v>316</v>
      </c>
      <c r="C107" s="55">
        <f>C105*C106/1000</f>
        <v>1847.4825000000001</v>
      </c>
      <c r="D107" s="21" t="s">
        <v>317</v>
      </c>
      <c r="E107" s="27" t="s">
        <v>52</v>
      </c>
      <c r="F107" s="27" t="s">
        <v>52</v>
      </c>
      <c r="G107" s="27" t="s">
        <v>52</v>
      </c>
      <c r="H107" s="27" t="s">
        <v>52</v>
      </c>
    </row>
    <row r="108" spans="1:9">
      <c r="B108" s="21" t="s">
        <v>318</v>
      </c>
      <c r="C108" s="55">
        <f>C107*C102</f>
        <v>738.99300000000005</v>
      </c>
      <c r="D108" s="21" t="s">
        <v>317</v>
      </c>
      <c r="E108" s="27" t="s">
        <v>52</v>
      </c>
      <c r="F108" s="27" t="s">
        <v>52</v>
      </c>
      <c r="G108" s="27" t="s">
        <v>52</v>
      </c>
      <c r="H108" s="27" t="s">
        <v>52</v>
      </c>
    </row>
    <row r="109" spans="1:9">
      <c r="B109" s="21" t="s">
        <v>318</v>
      </c>
      <c r="C109" s="55">
        <f>C107*C103</f>
        <v>1348.662225</v>
      </c>
      <c r="D109" s="21" t="s">
        <v>317</v>
      </c>
      <c r="E109" s="27" t="s">
        <v>52</v>
      </c>
      <c r="F109" s="27" t="s">
        <v>52</v>
      </c>
      <c r="G109" s="27" t="s">
        <v>52</v>
      </c>
      <c r="H109" s="27" t="s">
        <v>52</v>
      </c>
    </row>
    <row r="111" spans="1:9">
      <c r="B111" s="21" t="s">
        <v>319</v>
      </c>
      <c r="C111" s="101">
        <v>5.0000000000000001E-3</v>
      </c>
      <c r="D111" s="21" t="s">
        <v>33</v>
      </c>
      <c r="E111" s="21" t="s">
        <v>185</v>
      </c>
      <c r="F111" s="21">
        <v>2022</v>
      </c>
      <c r="G111" s="51" t="s">
        <v>127</v>
      </c>
      <c r="H111" s="21" t="s">
        <v>320</v>
      </c>
    </row>
    <row r="112" spans="1:9">
      <c r="B112" s="21" t="s">
        <v>321</v>
      </c>
      <c r="C112" s="58">
        <v>2.1000000000000001E-2</v>
      </c>
      <c r="D112" s="21" t="s">
        <v>33</v>
      </c>
      <c r="E112" s="21" t="s">
        <v>322</v>
      </c>
      <c r="F112" s="21">
        <v>2022</v>
      </c>
      <c r="G112" s="21" t="s">
        <v>129</v>
      </c>
      <c r="H112" s="21" t="s">
        <v>320</v>
      </c>
    </row>
    <row r="113" spans="1:9">
      <c r="B113" s="21" t="s">
        <v>323</v>
      </c>
      <c r="C113" s="58">
        <v>8.0000000000000002E-3</v>
      </c>
      <c r="D113" s="21" t="s">
        <v>33</v>
      </c>
      <c r="E113" s="21" t="s">
        <v>322</v>
      </c>
      <c r="F113" s="21">
        <v>2021</v>
      </c>
      <c r="G113" s="51" t="s">
        <v>324</v>
      </c>
      <c r="H113" s="27" t="s">
        <v>325</v>
      </c>
    </row>
    <row r="114" spans="1:9">
      <c r="B114" s="21" t="s">
        <v>326</v>
      </c>
      <c r="C114" s="101">
        <v>1.4999999999999999E-2</v>
      </c>
      <c r="D114" s="21" t="s">
        <v>33</v>
      </c>
      <c r="E114" s="21" t="s">
        <v>322</v>
      </c>
      <c r="F114" s="21">
        <v>2022</v>
      </c>
      <c r="G114" s="21" t="s">
        <v>129</v>
      </c>
      <c r="H114" s="21" t="s">
        <v>320</v>
      </c>
    </row>
    <row r="115" spans="1:9" hidden="1">
      <c r="B115" s="21" t="s">
        <v>327</v>
      </c>
      <c r="C115" s="108">
        <v>40000</v>
      </c>
      <c r="D115" s="21" t="s">
        <v>328</v>
      </c>
      <c r="H115" s="27"/>
    </row>
    <row r="117" spans="1:9">
      <c r="A117" s="9">
        <v>4</v>
      </c>
      <c r="B117" s="53" t="s">
        <v>70</v>
      </c>
      <c r="C117" s="35"/>
      <c r="D117" s="35"/>
      <c r="E117" s="35"/>
      <c r="F117" s="35"/>
      <c r="G117" s="35"/>
      <c r="H117" s="35"/>
      <c r="I117" s="35"/>
    </row>
    <row r="118" spans="1:9">
      <c r="B118" s="24" t="s">
        <v>47</v>
      </c>
      <c r="C118" s="24" t="s">
        <v>48</v>
      </c>
      <c r="D118" s="24" t="s">
        <v>49</v>
      </c>
      <c r="E118" s="24" t="s">
        <v>28</v>
      </c>
      <c r="F118" s="24" t="s">
        <v>50</v>
      </c>
      <c r="G118" s="24" t="s">
        <v>29</v>
      </c>
      <c r="H118" s="24" t="s">
        <v>122</v>
      </c>
      <c r="I118" s="24" t="s">
        <v>123</v>
      </c>
    </row>
    <row r="120" spans="1:9">
      <c r="B120" s="25" t="s">
        <v>344</v>
      </c>
    </row>
    <row r="121" spans="1:9">
      <c r="B121" s="20" t="s">
        <v>345</v>
      </c>
      <c r="C121" s="40">
        <v>0</v>
      </c>
      <c r="D121" s="21" t="s">
        <v>346</v>
      </c>
      <c r="E121" s="21" t="s">
        <v>234</v>
      </c>
      <c r="F121" s="21">
        <v>2022</v>
      </c>
      <c r="G121" s="21" t="s">
        <v>238</v>
      </c>
      <c r="H121" s="27" t="s">
        <v>52</v>
      </c>
    </row>
    <row r="122" spans="1:9">
      <c r="B122" s="25" t="s">
        <v>347</v>
      </c>
    </row>
    <row r="123" spans="1:9">
      <c r="B123" s="20" t="s">
        <v>345</v>
      </c>
      <c r="C123" s="21">
        <v>1.4</v>
      </c>
      <c r="D123" s="21" t="s">
        <v>346</v>
      </c>
      <c r="E123" s="27" t="s">
        <v>52</v>
      </c>
      <c r="F123" s="27" t="s">
        <v>52</v>
      </c>
      <c r="G123" s="27" t="s">
        <v>52</v>
      </c>
      <c r="H123" s="27" t="s">
        <v>52</v>
      </c>
      <c r="I123" s="21" t="s">
        <v>348</v>
      </c>
    </row>
    <row r="125" spans="1:9">
      <c r="B125" s="25" t="s">
        <v>350</v>
      </c>
    </row>
    <row r="126" spans="1:9">
      <c r="B126" s="20" t="s">
        <v>1496</v>
      </c>
      <c r="C126" s="21">
        <v>266</v>
      </c>
      <c r="D126" s="21" t="s">
        <v>354</v>
      </c>
      <c r="E126" s="21" t="s">
        <v>322</v>
      </c>
      <c r="F126" s="21">
        <v>2021</v>
      </c>
      <c r="G126" s="51" t="s">
        <v>324</v>
      </c>
      <c r="H126" s="21" t="s">
        <v>353</v>
      </c>
    </row>
    <row r="127" spans="1:9">
      <c r="B127" s="20" t="s">
        <v>351</v>
      </c>
      <c r="C127" s="21">
        <v>200</v>
      </c>
      <c r="D127" s="21" t="s">
        <v>352</v>
      </c>
      <c r="E127" s="21" t="s">
        <v>322</v>
      </c>
      <c r="F127" s="21">
        <v>2021</v>
      </c>
      <c r="G127" s="51" t="s">
        <v>324</v>
      </c>
      <c r="H127" s="21" t="s">
        <v>353</v>
      </c>
    </row>
    <row r="128" spans="1:9">
      <c r="B128" s="21" t="s">
        <v>1497</v>
      </c>
      <c r="C128" s="95">
        <f>C123*C126</f>
        <v>372.4</v>
      </c>
      <c r="D128" s="27" t="s">
        <v>53</v>
      </c>
    </row>
    <row r="129" spans="2:9">
      <c r="B129" s="21" t="s">
        <v>355</v>
      </c>
      <c r="C129" s="95">
        <f>C127*C123</f>
        <v>280</v>
      </c>
      <c r="D129" s="27" t="s">
        <v>53</v>
      </c>
    </row>
    <row r="130" spans="2:9">
      <c r="G130" s="125"/>
    </row>
    <row r="131" spans="2:9">
      <c r="B131" s="25" t="s">
        <v>356</v>
      </c>
    </row>
    <row r="132" spans="2:9">
      <c r="B132" s="20" t="s">
        <v>54</v>
      </c>
      <c r="C132" s="93">
        <v>96</v>
      </c>
      <c r="D132" s="27" t="s">
        <v>53</v>
      </c>
      <c r="E132" s="21" t="s">
        <v>357</v>
      </c>
      <c r="F132" s="21">
        <v>2022</v>
      </c>
      <c r="I132" s="21" t="s">
        <v>358</v>
      </c>
    </row>
    <row r="133" spans="2:9">
      <c r="B133" s="20" t="s">
        <v>359</v>
      </c>
      <c r="C133" s="96">
        <v>0.09</v>
      </c>
      <c r="D133" s="21" t="s">
        <v>33</v>
      </c>
      <c r="E133" s="21" t="s">
        <v>357</v>
      </c>
      <c r="F133" s="21">
        <v>2022</v>
      </c>
    </row>
    <row r="134" spans="2:9">
      <c r="B134" s="20" t="s">
        <v>363</v>
      </c>
      <c r="C134" s="106">
        <v>0.1014</v>
      </c>
      <c r="D134" s="21" t="s">
        <v>33</v>
      </c>
      <c r="E134" s="21" t="s">
        <v>364</v>
      </c>
      <c r="F134" s="21">
        <v>2023</v>
      </c>
      <c r="G134" s="51" t="s">
        <v>365</v>
      </c>
      <c r="H134" s="27" t="s">
        <v>366</v>
      </c>
    </row>
    <row r="135" spans="2:9">
      <c r="B135" s="20"/>
      <c r="D135" s="27"/>
      <c r="G135" s="27"/>
    </row>
    <row r="136" spans="2:9">
      <c r="B136" s="194" t="s">
        <v>1484</v>
      </c>
      <c r="D136" s="27"/>
      <c r="G136" s="27"/>
    </row>
    <row r="137" spans="2:9">
      <c r="B137" s="20" t="s">
        <v>1485</v>
      </c>
      <c r="C137" s="101">
        <v>2.4E-2</v>
      </c>
      <c r="D137" s="27" t="s">
        <v>33</v>
      </c>
      <c r="E137" s="21" t="s">
        <v>1490</v>
      </c>
      <c r="F137" s="21">
        <v>2023</v>
      </c>
      <c r="G137" s="60" t="s">
        <v>1491</v>
      </c>
    </row>
    <row r="138" spans="2:9">
      <c r="B138" s="20" t="s">
        <v>1486</v>
      </c>
      <c r="C138" s="101">
        <v>0.122</v>
      </c>
      <c r="D138" s="27" t="s">
        <v>33</v>
      </c>
      <c r="E138" s="21" t="s">
        <v>1490</v>
      </c>
      <c r="F138" s="21">
        <v>2023</v>
      </c>
      <c r="G138" s="60" t="s">
        <v>1491</v>
      </c>
    </row>
    <row r="139" spans="2:9">
      <c r="B139" s="20" t="s">
        <v>1487</v>
      </c>
      <c r="C139" s="101">
        <v>0.122</v>
      </c>
      <c r="D139" s="27" t="s">
        <v>33</v>
      </c>
      <c r="E139" s="21" t="s">
        <v>1490</v>
      </c>
      <c r="F139" s="21">
        <v>2023</v>
      </c>
      <c r="G139" s="60" t="s">
        <v>1491</v>
      </c>
    </row>
    <row r="140" spans="2:9">
      <c r="B140" s="20" t="s">
        <v>1488</v>
      </c>
      <c r="C140" s="101">
        <v>0.53700000000000003</v>
      </c>
      <c r="D140" s="27" t="s">
        <v>33</v>
      </c>
      <c r="E140" s="21" t="s">
        <v>1490</v>
      </c>
      <c r="F140" s="21">
        <v>2023</v>
      </c>
      <c r="G140" s="60" t="s">
        <v>1491</v>
      </c>
    </row>
    <row r="141" spans="2:9">
      <c r="B141" s="20" t="s">
        <v>1489</v>
      </c>
      <c r="C141" s="101">
        <v>0.19500000000000001</v>
      </c>
      <c r="D141" s="27" t="s">
        <v>33</v>
      </c>
      <c r="E141" s="21" t="s">
        <v>1490</v>
      </c>
      <c r="F141" s="21">
        <v>2023</v>
      </c>
      <c r="G141" s="60" t="s">
        <v>1491</v>
      </c>
    </row>
    <row r="142" spans="2:9">
      <c r="B142" s="25"/>
    </row>
    <row r="143" spans="2:9" s="18" customFormat="1">
      <c r="B143" s="53" t="s">
        <v>370</v>
      </c>
      <c r="C143" s="35"/>
      <c r="D143" s="35"/>
      <c r="E143" s="35"/>
      <c r="F143" s="35"/>
      <c r="G143" s="35"/>
      <c r="H143" s="35"/>
      <c r="I143" s="35"/>
    </row>
  </sheetData>
  <phoneticPr fontId="16" type="noConversion"/>
  <hyperlinks>
    <hyperlink ref="G105" r:id="rId1" display="https://www.investing.com/commodities/us-steel-coil-futures-historical-data" xr:uid="{F2064A74-759A-4717-9EDF-17E1292CF710}"/>
    <hyperlink ref="G75" r:id="rId2" display="Renewable Power Generation Costs in 2021 (irena.org)" xr:uid="{A04D5002-4C0C-465A-B468-418BC2778B23}"/>
    <hyperlink ref="G134" r:id="rId3" xr:uid="{CEFC934C-3CE6-4463-9ED1-B6F4B631DD8F}"/>
    <hyperlink ref="G127" r:id="rId4" display="https://www.energy-transitions.org/publications/steeling-demand/" xr:uid="{AC20D185-4485-4B81-969F-E045DEDB1422}"/>
    <hyperlink ref="G102" r:id="rId5" display="https://missionpossiblepartnership.org/wp-content/uploads/2021/10/MPP-Steel-Transition-Strategy-Oct-2021.pdf" xr:uid="{449C2DBD-0099-4683-B017-58F805E8D369}"/>
    <hyperlink ref="G77" r:id="rId6" xr:uid="{49B0EB83-7594-49B8-AD65-654C8B59E083}"/>
    <hyperlink ref="G11" r:id="rId7" xr:uid="{D743358F-2A7E-40FA-B955-B7FE78E49169}"/>
    <hyperlink ref="G24" r:id="rId8" xr:uid="{81DAA95F-B4F8-4968-B1F2-B7B615F68E0C}"/>
    <hyperlink ref="G37" r:id="rId9" xr:uid="{500653AA-0D45-4DD6-B87E-79FEF81A5160}"/>
    <hyperlink ref="G74" r:id="rId10" xr:uid="{6E5B0944-111C-4591-878E-71186373DBC9}"/>
    <hyperlink ref="G67" r:id="rId11" xr:uid="{A03F679D-05F0-4EA8-9BF5-71F7D8295B72}"/>
    <hyperlink ref="G66" r:id="rId12" xr:uid="{6F87232F-AE19-4703-BD62-B06CE605C1F3}"/>
    <hyperlink ref="G76" r:id="rId13" xr:uid="{56C82BD6-67C9-4498-BF1D-DFF7E942362E}"/>
    <hyperlink ref="G82" r:id="rId14" xr:uid="{4E4B1098-7FD4-4F15-962C-402E24791F7B}"/>
    <hyperlink ref="G84" r:id="rId15" xr:uid="{76495641-A79E-49F3-86EE-C310DD9A0A10}"/>
    <hyperlink ref="G126" r:id="rId16" display="https://www.energy-transitions.org/publications/steeling-demand/" xr:uid="{7A7A260F-F53E-483C-94E4-9A7F1E1203F7}"/>
    <hyperlink ref="G113" r:id="rId17" display="https://www.energy-transitions.org/publications/steeling-demand/" xr:uid="{0F50CD2E-E986-42F2-BFCC-7B825369EB7A}"/>
    <hyperlink ref="G91" r:id="rId18" xr:uid="{D6D8AF44-08C0-44B7-927B-4217492ECB24}"/>
    <hyperlink ref="G92" r:id="rId19" xr:uid="{CBC17833-E7FC-4C7F-A7A7-801767855DEF}"/>
    <hyperlink ref="G111" r:id="rId20" xr:uid="{AF628B70-7DE5-42FD-9ABA-FCCB84A528C9}"/>
    <hyperlink ref="G137" location="'STE-R'!G178" display="'STE-R'!G178" xr:uid="{5F2AFFBB-3346-4724-92F3-8983C56AFA13}"/>
    <hyperlink ref="G138:G141" location="'STE-R'!G178" display="'STE-R'!G178" xr:uid="{758EB012-DE71-4D89-8DB2-0F877C6A830D}"/>
  </hyperlinks>
  <pageMargins left="0.7" right="0.7" top="0.75" bottom="0.75" header="0.3" footer="0.3"/>
  <pageSetup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2EEB2-D905-46F9-8D16-32158EA7D715}">
  <sheetPr codeName="Sheet6">
    <tabColor theme="4" tint="0.39997558519241921"/>
  </sheetPr>
  <dimension ref="A1:K70"/>
  <sheetViews>
    <sheetView showGridLines="0" topLeftCell="A30" zoomScale="70" zoomScaleNormal="70" workbookViewId="0">
      <selection activeCell="D1" sqref="D1:D1048576"/>
    </sheetView>
  </sheetViews>
  <sheetFormatPr baseColWidth="10" defaultColWidth="8.83203125" defaultRowHeight="15"/>
  <cols>
    <col min="2" max="2" width="39.1640625" style="21" customWidth="1"/>
    <col min="3" max="3" width="28" style="21" customWidth="1"/>
    <col min="4" max="4" width="15.1640625" style="21" customWidth="1"/>
    <col min="5" max="5" width="17.5" style="21" customWidth="1"/>
    <col min="6" max="6" width="11.83203125" style="21" customWidth="1"/>
    <col min="7" max="7" width="56.83203125" style="21" customWidth="1"/>
    <col min="8" max="8" width="25.83203125" style="21" customWidth="1"/>
    <col min="9" max="9" width="31.83203125" style="21" customWidth="1"/>
  </cols>
  <sheetData>
    <row r="1" spans="2:9" s="1" customFormat="1">
      <c r="B1" s="2"/>
      <c r="C1" s="2"/>
      <c r="D1" s="2"/>
      <c r="E1" s="2"/>
      <c r="F1" s="2"/>
      <c r="G1" s="2"/>
      <c r="H1" s="2"/>
      <c r="I1" s="2"/>
    </row>
    <row r="2" spans="2:9" s="1" customFormat="1" ht="15" customHeight="1">
      <c r="B2" s="19" t="s">
        <v>371</v>
      </c>
      <c r="C2" s="19"/>
      <c r="D2" s="2"/>
      <c r="E2" s="2"/>
      <c r="F2" s="2"/>
      <c r="G2" s="2"/>
      <c r="H2" s="2"/>
      <c r="I2" s="2"/>
    </row>
    <row r="3" spans="2:9" s="1" customFormat="1" ht="15" customHeight="1">
      <c r="B3" s="19" t="s">
        <v>372</v>
      </c>
      <c r="C3" s="19"/>
      <c r="D3" s="2"/>
      <c r="E3" s="2"/>
      <c r="F3" s="2"/>
      <c r="G3" s="2"/>
      <c r="H3" s="2"/>
      <c r="I3" s="2"/>
    </row>
    <row r="4" spans="2:9" s="4" customFormat="1" ht="15" customHeight="1" thickBot="1">
      <c r="B4" s="5"/>
      <c r="C4" s="5"/>
      <c r="D4" s="5"/>
      <c r="E4" s="5"/>
      <c r="F4" s="5"/>
      <c r="G4" s="5"/>
      <c r="H4" s="5"/>
      <c r="I4" s="5"/>
    </row>
    <row r="6" spans="2:9" ht="14.25" customHeight="1"/>
    <row r="7" spans="2:9">
      <c r="B7" s="13" t="s">
        <v>373</v>
      </c>
      <c r="C7" s="13"/>
      <c r="D7" s="35"/>
      <c r="E7" s="35"/>
      <c r="F7" s="35"/>
      <c r="G7" s="35"/>
      <c r="H7" s="35"/>
      <c r="I7" s="35"/>
    </row>
    <row r="8" spans="2:9">
      <c r="B8" s="24" t="s">
        <v>47</v>
      </c>
      <c r="C8" s="24" t="s">
        <v>48</v>
      </c>
      <c r="D8" s="24" t="s">
        <v>49</v>
      </c>
      <c r="E8" s="24" t="s">
        <v>28</v>
      </c>
      <c r="F8" s="24" t="s">
        <v>50</v>
      </c>
      <c r="G8" s="24" t="s">
        <v>29</v>
      </c>
      <c r="H8" s="24" t="s">
        <v>122</v>
      </c>
      <c r="I8" s="24" t="s">
        <v>123</v>
      </c>
    </row>
    <row r="9" spans="2:9">
      <c r="B9" s="21" t="s">
        <v>27</v>
      </c>
      <c r="C9" s="42">
        <f>SUM((C10:C12),0.75)</f>
        <v>3.35</v>
      </c>
    </row>
    <row r="10" spans="2:9">
      <c r="B10" s="21" t="s">
        <v>23</v>
      </c>
      <c r="C10" s="93">
        <v>2.4</v>
      </c>
      <c r="D10" s="21" t="s">
        <v>125</v>
      </c>
      <c r="E10" s="21" t="s">
        <v>374</v>
      </c>
      <c r="F10" s="21">
        <v>2020</v>
      </c>
      <c r="G10" s="51" t="s">
        <v>375</v>
      </c>
      <c r="H10" s="21" t="s">
        <v>376</v>
      </c>
      <c r="I10" s="21" t="s">
        <v>377</v>
      </c>
    </row>
    <row r="11" spans="2:9">
      <c r="B11" s="21" t="s">
        <v>24</v>
      </c>
      <c r="C11" s="93">
        <f>C10/72*6</f>
        <v>0.2</v>
      </c>
      <c r="D11" s="21" t="s">
        <v>125</v>
      </c>
      <c r="E11" s="21" t="s">
        <v>374</v>
      </c>
      <c r="F11" s="21">
        <v>2020</v>
      </c>
      <c r="G11" s="51" t="s">
        <v>375</v>
      </c>
      <c r="H11" s="21" t="s">
        <v>376</v>
      </c>
      <c r="I11" s="21" t="s">
        <v>52</v>
      </c>
    </row>
    <row r="12" spans="2:9">
      <c r="B12" s="21" t="s">
        <v>25</v>
      </c>
      <c r="C12" s="21" t="s">
        <v>378</v>
      </c>
      <c r="D12" s="21" t="s">
        <v>125</v>
      </c>
      <c r="E12" s="21" t="s">
        <v>379</v>
      </c>
      <c r="F12" s="27">
        <v>2020</v>
      </c>
      <c r="G12" s="27" t="s">
        <v>380</v>
      </c>
      <c r="H12" s="21" t="s">
        <v>381</v>
      </c>
      <c r="I12" s="21" t="s">
        <v>52</v>
      </c>
    </row>
    <row r="13" spans="2:9">
      <c r="B13" s="21" t="s">
        <v>131</v>
      </c>
      <c r="C13" s="21">
        <v>0</v>
      </c>
      <c r="D13" s="21" t="s">
        <v>125</v>
      </c>
      <c r="E13" s="27" t="s">
        <v>52</v>
      </c>
      <c r="F13" s="27" t="s">
        <v>52</v>
      </c>
      <c r="G13" s="27" t="s">
        <v>52</v>
      </c>
      <c r="H13" s="21" t="s">
        <v>132</v>
      </c>
      <c r="I13" s="21" t="s">
        <v>52</v>
      </c>
    </row>
    <row r="14" spans="2:9">
      <c r="B14" s="21" t="s">
        <v>133</v>
      </c>
      <c r="C14" s="93">
        <v>0.1</v>
      </c>
      <c r="D14" s="21" t="s">
        <v>134</v>
      </c>
      <c r="E14" s="21" t="s">
        <v>51</v>
      </c>
      <c r="F14" s="21">
        <v>2021</v>
      </c>
      <c r="G14" s="51" t="s">
        <v>382</v>
      </c>
      <c r="H14" s="21" t="s">
        <v>52</v>
      </c>
    </row>
    <row r="15" spans="2:9">
      <c r="B15" s="21" t="s">
        <v>136</v>
      </c>
      <c r="C15" s="38" t="s">
        <v>42</v>
      </c>
      <c r="D15" s="21" t="s">
        <v>125</v>
      </c>
      <c r="E15" s="21" t="s">
        <v>52</v>
      </c>
      <c r="F15" s="21" t="s">
        <v>52</v>
      </c>
      <c r="G15" s="21" t="s">
        <v>52</v>
      </c>
      <c r="H15" s="21" t="s">
        <v>52</v>
      </c>
      <c r="I15" s="21" t="s">
        <v>52</v>
      </c>
    </row>
    <row r="17" spans="1:11">
      <c r="A17" s="9"/>
      <c r="B17" s="53" t="s">
        <v>138</v>
      </c>
      <c r="C17" s="53"/>
      <c r="D17" s="35"/>
      <c r="E17" s="35"/>
      <c r="F17" s="35"/>
      <c r="G17" s="35"/>
      <c r="H17" s="35"/>
      <c r="I17" s="35"/>
    </row>
    <row r="18" spans="1:11">
      <c r="B18" s="24" t="s">
        <v>47</v>
      </c>
      <c r="C18" s="24" t="s">
        <v>48</v>
      </c>
      <c r="D18" s="24" t="s">
        <v>49</v>
      </c>
      <c r="E18" s="24" t="s">
        <v>28</v>
      </c>
      <c r="F18" s="24" t="s">
        <v>50</v>
      </c>
      <c r="G18" s="24" t="s">
        <v>29</v>
      </c>
      <c r="H18" s="24" t="s">
        <v>122</v>
      </c>
      <c r="I18" s="24" t="s">
        <v>123</v>
      </c>
    </row>
    <row r="20" spans="1:11">
      <c r="B20" s="21" t="s">
        <v>139</v>
      </c>
      <c r="C20" s="98">
        <v>4.0999999999999996</v>
      </c>
      <c r="D20" s="21" t="s">
        <v>140</v>
      </c>
      <c r="E20" s="21" t="s">
        <v>383</v>
      </c>
      <c r="F20" s="21">
        <v>2022</v>
      </c>
      <c r="G20" s="15" t="s">
        <v>57</v>
      </c>
      <c r="I20" s="21">
        <v>2022</v>
      </c>
      <c r="J20" t="e">
        <f>#REF!*#REF!</f>
        <v>#REF!</v>
      </c>
      <c r="K20" s="21" t="s">
        <v>384</v>
      </c>
    </row>
    <row r="21" spans="1:11">
      <c r="B21" s="21" t="s">
        <v>385</v>
      </c>
      <c r="C21" s="93" t="s">
        <v>386</v>
      </c>
      <c r="D21" s="21" t="s">
        <v>33</v>
      </c>
      <c r="E21" s="21" t="s">
        <v>51</v>
      </c>
      <c r="F21" s="21">
        <v>2021</v>
      </c>
      <c r="G21" s="51" t="s">
        <v>31</v>
      </c>
      <c r="H21" s="21" t="s">
        <v>387</v>
      </c>
      <c r="I21" s="21" t="s">
        <v>388</v>
      </c>
      <c r="J21" s="10">
        <v>0.44598403006106152</v>
      </c>
    </row>
    <row r="22" spans="1:11">
      <c r="B22" s="21" t="s">
        <v>389</v>
      </c>
      <c r="C22" s="93">
        <v>0</v>
      </c>
      <c r="D22" s="21" t="s">
        <v>33</v>
      </c>
      <c r="E22" s="21" t="s">
        <v>51</v>
      </c>
      <c r="F22" s="21">
        <v>2021</v>
      </c>
      <c r="G22" s="51" t="s">
        <v>31</v>
      </c>
      <c r="H22" s="21" t="s">
        <v>387</v>
      </c>
      <c r="I22" s="21" t="s">
        <v>390</v>
      </c>
      <c r="J22" s="10">
        <v>3.2986111111111112E-2</v>
      </c>
    </row>
    <row r="24" spans="1:11">
      <c r="A24" s="9"/>
      <c r="B24" s="53" t="s">
        <v>158</v>
      </c>
      <c r="C24" s="53"/>
      <c r="D24" s="35"/>
      <c r="E24" s="35"/>
      <c r="F24" s="35"/>
      <c r="G24" s="35"/>
      <c r="H24" s="35"/>
      <c r="I24" s="35"/>
    </row>
    <row r="25" spans="1:11">
      <c r="B25" s="24" t="s">
        <v>47</v>
      </c>
      <c r="C25" s="24" t="s">
        <v>48</v>
      </c>
      <c r="D25" s="24" t="s">
        <v>49</v>
      </c>
      <c r="E25" s="24" t="s">
        <v>28</v>
      </c>
      <c r="F25" s="24" t="s">
        <v>50</v>
      </c>
      <c r="G25" s="24" t="s">
        <v>29</v>
      </c>
      <c r="H25" s="24" t="s">
        <v>122</v>
      </c>
      <c r="I25" s="24" t="s">
        <v>123</v>
      </c>
    </row>
    <row r="26" spans="1:11">
      <c r="D26" s="52"/>
    </row>
    <row r="27" spans="1:11">
      <c r="B27" s="21" t="s">
        <v>391</v>
      </c>
      <c r="C27" s="93">
        <v>0.57999999999999996</v>
      </c>
      <c r="D27" s="21" t="s">
        <v>392</v>
      </c>
      <c r="E27" s="21" t="s">
        <v>51</v>
      </c>
      <c r="F27" s="21">
        <v>2022</v>
      </c>
      <c r="G27" s="51" t="s">
        <v>1492</v>
      </c>
      <c r="H27" s="21" t="s">
        <v>393</v>
      </c>
    </row>
    <row r="28" spans="1:11" ht="14.25" customHeight="1">
      <c r="B28" s="21" t="s">
        <v>394</v>
      </c>
      <c r="C28" s="98">
        <f>C31+0.378</f>
        <v>2.9340000000000002</v>
      </c>
      <c r="D28" s="21" t="s">
        <v>395</v>
      </c>
      <c r="E28" s="21" t="s">
        <v>51</v>
      </c>
      <c r="F28" s="21">
        <v>2021</v>
      </c>
      <c r="G28" s="51" t="s">
        <v>382</v>
      </c>
      <c r="H28" s="21" t="s">
        <v>52</v>
      </c>
      <c r="I28" s="21" t="s">
        <v>396</v>
      </c>
    </row>
    <row r="29" spans="1:11" ht="14.25" customHeight="1">
      <c r="B29" s="25" t="s">
        <v>397</v>
      </c>
      <c r="C29" s="25"/>
      <c r="D29" s="27"/>
      <c r="E29" s="27" t="s">
        <v>52</v>
      </c>
      <c r="F29" s="27" t="s">
        <v>52</v>
      </c>
      <c r="G29" s="27" t="s">
        <v>52</v>
      </c>
      <c r="H29" s="27" t="s">
        <v>52</v>
      </c>
    </row>
    <row r="30" spans="1:11" ht="14.25" customHeight="1">
      <c r="B30" s="20" t="s">
        <v>159</v>
      </c>
      <c r="C30" s="38" t="s">
        <v>42</v>
      </c>
      <c r="D30" s="27" t="s">
        <v>52</v>
      </c>
      <c r="E30" s="27" t="s">
        <v>52</v>
      </c>
      <c r="F30" s="27" t="s">
        <v>52</v>
      </c>
      <c r="G30" s="27" t="s">
        <v>52</v>
      </c>
      <c r="H30" s="27" t="s">
        <v>52</v>
      </c>
    </row>
    <row r="31" spans="1:11">
      <c r="B31" s="20" t="s">
        <v>168</v>
      </c>
      <c r="C31" s="98">
        <v>2.556</v>
      </c>
      <c r="D31" s="21" t="s">
        <v>395</v>
      </c>
      <c r="E31" s="21" t="s">
        <v>51</v>
      </c>
      <c r="F31" s="21">
        <v>2021</v>
      </c>
      <c r="G31" s="51" t="s">
        <v>382</v>
      </c>
      <c r="H31" s="21" t="s">
        <v>52</v>
      </c>
      <c r="I31" s="21" t="s">
        <v>398</v>
      </c>
    </row>
    <row r="32" spans="1:11">
      <c r="B32" s="20" t="s">
        <v>399</v>
      </c>
      <c r="C32" s="98">
        <f>C27/C33</f>
        <v>0.80555555555555558</v>
      </c>
      <c r="D32" s="21" t="s">
        <v>392</v>
      </c>
      <c r="G32" s="116"/>
    </row>
    <row r="33" spans="1:10" ht="15.75" customHeight="1">
      <c r="B33" s="21" t="s">
        <v>400</v>
      </c>
      <c r="C33" s="93">
        <v>0.72</v>
      </c>
      <c r="D33" s="27" t="s">
        <v>52</v>
      </c>
      <c r="E33" s="21" t="s">
        <v>51</v>
      </c>
      <c r="F33" s="21">
        <v>2020</v>
      </c>
      <c r="G33" s="51" t="s">
        <v>382</v>
      </c>
      <c r="H33" s="21" t="s">
        <v>52</v>
      </c>
      <c r="I33" s="31"/>
    </row>
    <row r="35" spans="1:10">
      <c r="A35" s="9"/>
      <c r="B35" s="53" t="s">
        <v>170</v>
      </c>
      <c r="C35" s="53"/>
      <c r="D35" s="35"/>
      <c r="E35" s="35"/>
      <c r="F35" s="35"/>
      <c r="G35" s="35"/>
      <c r="H35" s="35"/>
      <c r="I35" s="35"/>
    </row>
    <row r="36" spans="1:10">
      <c r="B36" s="24" t="s">
        <v>47</v>
      </c>
      <c r="C36" s="24" t="s">
        <v>48</v>
      </c>
      <c r="D36" s="24" t="s">
        <v>49</v>
      </c>
      <c r="E36" s="24" t="s">
        <v>28</v>
      </c>
      <c r="F36" s="24" t="s">
        <v>50</v>
      </c>
      <c r="G36" s="24" t="s">
        <v>29</v>
      </c>
      <c r="H36" s="24" t="s">
        <v>122</v>
      </c>
      <c r="I36" s="24" t="s">
        <v>123</v>
      </c>
    </row>
    <row r="37" spans="1:10">
      <c r="B37" s="25" t="s">
        <v>171</v>
      </c>
      <c r="C37" s="95">
        <v>10.735200000000001</v>
      </c>
      <c r="D37" s="21" t="s">
        <v>172</v>
      </c>
      <c r="E37" s="21" t="s">
        <v>51</v>
      </c>
      <c r="F37" s="21">
        <v>2021</v>
      </c>
      <c r="G37" s="51" t="s">
        <v>382</v>
      </c>
      <c r="H37" s="27" t="s">
        <v>52</v>
      </c>
      <c r="I37" s="21" t="s">
        <v>401</v>
      </c>
      <c r="J37" t="e">
        <f>3.55*J20</f>
        <v>#REF!</v>
      </c>
    </row>
    <row r="38" spans="1:10">
      <c r="B38" s="20" t="s">
        <v>402</v>
      </c>
      <c r="C38" s="98">
        <f>C43*$C$37</f>
        <v>8.2661040000000003</v>
      </c>
      <c r="D38" s="21" t="s">
        <v>172</v>
      </c>
      <c r="E38" s="27" t="s">
        <v>129</v>
      </c>
      <c r="F38" s="27" t="s">
        <v>129</v>
      </c>
      <c r="G38" s="27" t="s">
        <v>129</v>
      </c>
      <c r="H38" s="27" t="s">
        <v>52</v>
      </c>
    </row>
    <row r="39" spans="1:10">
      <c r="B39" s="20" t="s">
        <v>26</v>
      </c>
      <c r="C39" s="98">
        <f>C44*$C$37</f>
        <v>1.6102800000000002</v>
      </c>
      <c r="D39" s="21" t="s">
        <v>172</v>
      </c>
      <c r="E39" s="27" t="s">
        <v>129</v>
      </c>
      <c r="F39" s="27" t="s">
        <v>129</v>
      </c>
      <c r="G39" s="27" t="s">
        <v>129</v>
      </c>
      <c r="H39" s="27" t="s">
        <v>52</v>
      </c>
    </row>
    <row r="40" spans="1:10">
      <c r="B40" s="20" t="s">
        <v>403</v>
      </c>
      <c r="C40" s="98">
        <f>C45*$C$37</f>
        <v>0.42940800000000001</v>
      </c>
      <c r="D40" s="21" t="s">
        <v>172</v>
      </c>
      <c r="E40" s="27" t="s">
        <v>129</v>
      </c>
      <c r="F40" s="27" t="s">
        <v>129</v>
      </c>
      <c r="G40" s="27" t="s">
        <v>129</v>
      </c>
      <c r="H40" s="27" t="s">
        <v>52</v>
      </c>
    </row>
    <row r="41" spans="1:10">
      <c r="B41" s="20" t="s">
        <v>404</v>
      </c>
      <c r="C41" s="98">
        <f>C46*$C$37</f>
        <v>0.42940800000000001</v>
      </c>
      <c r="D41" s="21" t="s">
        <v>172</v>
      </c>
      <c r="E41" s="27" t="s">
        <v>129</v>
      </c>
      <c r="F41" s="27" t="s">
        <v>129</v>
      </c>
      <c r="G41" s="27" t="s">
        <v>129</v>
      </c>
      <c r="H41" s="27" t="s">
        <v>52</v>
      </c>
    </row>
    <row r="42" spans="1:10">
      <c r="B42" s="25" t="s">
        <v>171</v>
      </c>
      <c r="C42" s="25"/>
    </row>
    <row r="43" spans="1:10">
      <c r="B43" s="20" t="s">
        <v>402</v>
      </c>
      <c r="C43" s="105">
        <f>0.92 - 0.15</f>
        <v>0.77</v>
      </c>
      <c r="D43" s="21" t="s">
        <v>33</v>
      </c>
      <c r="E43" s="21" t="s">
        <v>51</v>
      </c>
      <c r="F43" s="21">
        <v>2020</v>
      </c>
      <c r="G43" s="51" t="s">
        <v>405</v>
      </c>
      <c r="H43" s="21" t="s">
        <v>406</v>
      </c>
      <c r="I43" s="21" t="s">
        <v>407</v>
      </c>
    </row>
    <row r="44" spans="1:10">
      <c r="B44" s="20" t="s">
        <v>26</v>
      </c>
      <c r="C44" s="105">
        <v>0.15</v>
      </c>
      <c r="D44" s="21" t="s">
        <v>33</v>
      </c>
      <c r="E44" s="21" t="s">
        <v>51</v>
      </c>
      <c r="F44" s="21">
        <v>2020</v>
      </c>
      <c r="G44" s="51" t="s">
        <v>31</v>
      </c>
      <c r="H44" s="21" t="s">
        <v>408</v>
      </c>
    </row>
    <row r="45" spans="1:10">
      <c r="B45" s="20" t="s">
        <v>403</v>
      </c>
      <c r="C45" s="105">
        <v>0.04</v>
      </c>
      <c r="D45" s="21" t="s">
        <v>33</v>
      </c>
      <c r="E45" s="21" t="s">
        <v>51</v>
      </c>
      <c r="F45" s="21">
        <v>2020</v>
      </c>
      <c r="G45" s="51" t="s">
        <v>405</v>
      </c>
      <c r="H45" s="21" t="s">
        <v>406</v>
      </c>
      <c r="I45" s="21" t="s">
        <v>407</v>
      </c>
    </row>
    <row r="46" spans="1:10">
      <c r="B46" s="20" t="s">
        <v>404</v>
      </c>
      <c r="C46" s="105">
        <v>0.04</v>
      </c>
      <c r="D46" s="21" t="s">
        <v>33</v>
      </c>
      <c r="E46" s="21" t="s">
        <v>51</v>
      </c>
      <c r="F46" s="21">
        <v>2020</v>
      </c>
      <c r="G46" s="21" t="s">
        <v>405</v>
      </c>
      <c r="H46" s="21" t="s">
        <v>406</v>
      </c>
      <c r="I46" s="21" t="s">
        <v>407</v>
      </c>
    </row>
    <row r="47" spans="1:10">
      <c r="B47" s="25" t="s">
        <v>176</v>
      </c>
      <c r="C47" s="95">
        <f>C43*((C48+C49)/2)+C44*C50+C45*C51+C46*C52</f>
        <v>82.52058003980666</v>
      </c>
      <c r="D47" s="21" t="s">
        <v>177</v>
      </c>
      <c r="I47" s="21" t="s">
        <v>409</v>
      </c>
    </row>
    <row r="48" spans="1:10">
      <c r="B48" s="20" t="s">
        <v>39</v>
      </c>
      <c r="C48" s="29">
        <f>96.1/1.0551</f>
        <v>91.081414083973087</v>
      </c>
      <c r="D48" s="21" t="s">
        <v>177</v>
      </c>
      <c r="E48" s="21" t="s">
        <v>178</v>
      </c>
      <c r="F48" s="21">
        <v>2022</v>
      </c>
      <c r="G48" s="51" t="s">
        <v>179</v>
      </c>
      <c r="I48" s="21" t="s">
        <v>180</v>
      </c>
    </row>
    <row r="49" spans="2:9">
      <c r="B49" s="20" t="s">
        <v>410</v>
      </c>
      <c r="C49" s="29">
        <f>102.2/1.0551</f>
        <v>96.862856601270025</v>
      </c>
      <c r="D49" s="21" t="s">
        <v>177</v>
      </c>
      <c r="E49" s="21" t="s">
        <v>178</v>
      </c>
      <c r="F49" s="21">
        <v>2022</v>
      </c>
      <c r="G49" s="21" t="s">
        <v>179</v>
      </c>
      <c r="I49" s="21" t="s">
        <v>181</v>
      </c>
    </row>
    <row r="50" spans="2:9">
      <c r="B50" s="20" t="s">
        <v>26</v>
      </c>
      <c r="C50" s="29">
        <f>52.91/1.0551</f>
        <v>50.146905506587053</v>
      </c>
      <c r="D50" s="21" t="s">
        <v>177</v>
      </c>
      <c r="E50" s="21" t="s">
        <v>178</v>
      </c>
      <c r="F50" s="21">
        <v>2022</v>
      </c>
      <c r="G50" s="21" t="s">
        <v>179</v>
      </c>
      <c r="I50" s="21" t="s">
        <v>182</v>
      </c>
    </row>
    <row r="51" spans="2:9">
      <c r="B51" s="20" t="s">
        <v>403</v>
      </c>
      <c r="C51" s="21">
        <v>66</v>
      </c>
      <c r="D51" s="21" t="s">
        <v>177</v>
      </c>
      <c r="E51" s="21" t="s">
        <v>178</v>
      </c>
      <c r="F51" s="21">
        <v>2022</v>
      </c>
      <c r="G51" s="21" t="s">
        <v>179</v>
      </c>
      <c r="I51" s="21" t="s">
        <v>411</v>
      </c>
    </row>
    <row r="52" spans="2:9">
      <c r="B52" s="20" t="s">
        <v>412</v>
      </c>
      <c r="C52" s="20">
        <v>0</v>
      </c>
      <c r="D52" s="21" t="s">
        <v>177</v>
      </c>
      <c r="E52" s="27" t="s">
        <v>52</v>
      </c>
      <c r="F52" s="21">
        <v>2022</v>
      </c>
      <c r="G52" s="27" t="s">
        <v>52</v>
      </c>
      <c r="H52" s="21" t="s">
        <v>413</v>
      </c>
    </row>
    <row r="54" spans="2:9">
      <c r="B54" s="194" t="s">
        <v>184</v>
      </c>
    </row>
    <row r="55" spans="2:9">
      <c r="B55" s="20" t="s">
        <v>40</v>
      </c>
      <c r="C55" s="96">
        <v>0.08</v>
      </c>
      <c r="E55" s="21" t="s">
        <v>51</v>
      </c>
      <c r="F55" s="21">
        <v>2023</v>
      </c>
      <c r="G55" s="51" t="s">
        <v>19</v>
      </c>
    </row>
    <row r="56" spans="2:9">
      <c r="B56" s="20" t="s">
        <v>75</v>
      </c>
      <c r="C56" s="96">
        <v>0.09</v>
      </c>
      <c r="E56" s="21" t="s">
        <v>51</v>
      </c>
      <c r="F56" s="21">
        <v>2023</v>
      </c>
      <c r="G56" s="51" t="s">
        <v>19</v>
      </c>
    </row>
    <row r="57" spans="2:9">
      <c r="B57" s="20" t="s">
        <v>188</v>
      </c>
      <c r="C57" s="96">
        <v>0.31</v>
      </c>
      <c r="E57" s="21" t="s">
        <v>51</v>
      </c>
      <c r="F57" s="21">
        <v>2023</v>
      </c>
      <c r="G57" s="51" t="s">
        <v>19</v>
      </c>
    </row>
    <row r="58" spans="2:9">
      <c r="B58" s="20" t="s">
        <v>414</v>
      </c>
      <c r="C58" s="96">
        <v>0.19</v>
      </c>
      <c r="E58" s="21" t="s">
        <v>51</v>
      </c>
      <c r="F58" s="21">
        <v>2023</v>
      </c>
      <c r="G58" s="51" t="s">
        <v>19</v>
      </c>
    </row>
    <row r="59" spans="2:9">
      <c r="B59" s="20" t="s">
        <v>415</v>
      </c>
      <c r="C59" s="96">
        <v>0.19</v>
      </c>
      <c r="E59" s="21" t="s">
        <v>51</v>
      </c>
      <c r="F59" s="21">
        <v>2023</v>
      </c>
      <c r="G59" s="51" t="s">
        <v>19</v>
      </c>
    </row>
    <row r="60" spans="2:9">
      <c r="B60" s="20" t="s">
        <v>190</v>
      </c>
      <c r="C60" s="96">
        <v>0.14000000000000001</v>
      </c>
      <c r="E60" s="21" t="s">
        <v>51</v>
      </c>
      <c r="F60" s="21">
        <v>2023</v>
      </c>
      <c r="G60" s="51" t="s">
        <v>19</v>
      </c>
    </row>
    <row r="62" spans="2:9">
      <c r="B62" s="53" t="s">
        <v>196</v>
      </c>
      <c r="C62" s="53"/>
      <c r="D62" s="35"/>
      <c r="E62" s="35"/>
      <c r="F62" s="35"/>
      <c r="G62" s="35"/>
      <c r="H62" s="35"/>
      <c r="I62" s="35"/>
    </row>
    <row r="63" spans="2:9">
      <c r="B63" s="24" t="s">
        <v>47</v>
      </c>
      <c r="C63" s="24" t="s">
        <v>48</v>
      </c>
      <c r="D63" s="24" t="s">
        <v>49</v>
      </c>
      <c r="E63" s="24" t="s">
        <v>28</v>
      </c>
      <c r="F63" s="24" t="s">
        <v>50</v>
      </c>
      <c r="G63" s="24" t="s">
        <v>29</v>
      </c>
      <c r="H63" s="24" t="s">
        <v>122</v>
      </c>
      <c r="I63" s="24" t="s">
        <v>123</v>
      </c>
    </row>
    <row r="65" spans="2:9">
      <c r="B65" s="21" t="s">
        <v>416</v>
      </c>
      <c r="C65" s="131">
        <v>4100</v>
      </c>
      <c r="D65" s="21" t="s">
        <v>198</v>
      </c>
      <c r="E65" s="21" t="s">
        <v>383</v>
      </c>
      <c r="F65" s="21">
        <v>2022</v>
      </c>
      <c r="G65" s="15" t="s">
        <v>57</v>
      </c>
    </row>
    <row r="66" spans="2:9">
      <c r="B66" s="21" t="s">
        <v>417</v>
      </c>
      <c r="C66" s="93">
        <v>6100</v>
      </c>
      <c r="D66" s="21" t="s">
        <v>198</v>
      </c>
      <c r="E66" s="21" t="s">
        <v>374</v>
      </c>
      <c r="F66" s="21">
        <v>2021</v>
      </c>
      <c r="G66" s="51" t="s">
        <v>35</v>
      </c>
      <c r="I66" s="21" t="s">
        <v>418</v>
      </c>
    </row>
    <row r="67" spans="2:9">
      <c r="B67" s="21" t="s">
        <v>419</v>
      </c>
      <c r="C67" s="93">
        <v>3930</v>
      </c>
      <c r="D67" s="21" t="s">
        <v>198</v>
      </c>
      <c r="E67" s="21" t="s">
        <v>51</v>
      </c>
      <c r="F67" s="21">
        <v>2022</v>
      </c>
      <c r="G67" s="51" t="s">
        <v>19</v>
      </c>
      <c r="H67" s="21" t="s">
        <v>420</v>
      </c>
    </row>
    <row r="69" spans="2:9" s="18" customFormat="1">
      <c r="B69" s="53" t="s">
        <v>370</v>
      </c>
      <c r="C69" s="53"/>
      <c r="D69" s="35"/>
      <c r="E69" s="35"/>
      <c r="F69" s="35"/>
      <c r="G69" s="35"/>
      <c r="H69" s="35"/>
      <c r="I69" s="35"/>
    </row>
    <row r="70" spans="2:9" ht="23.25" customHeight="1"/>
  </sheetData>
  <phoneticPr fontId="16" type="noConversion"/>
  <hyperlinks>
    <hyperlink ref="G31" r:id="rId1" xr:uid="{5D84FB71-434E-48AC-BBEB-6AC9B1A4EC4D}"/>
    <hyperlink ref="G28" r:id="rId2" xr:uid="{515C7218-7515-496D-802A-C51763441159}"/>
    <hyperlink ref="G48" r:id="rId3" xr:uid="{72E34BE6-4727-4D92-992A-36583949CE04}"/>
    <hyperlink ref="G43" r:id="rId4" xr:uid="{4137A78E-37D7-4138-BE14-49ED0B22AC47}"/>
    <hyperlink ref="G44" r:id="rId5" xr:uid="{6D46A842-5BD3-4CB6-A65E-5BE2DB05E677}"/>
    <hyperlink ref="G45" r:id="rId6" xr:uid="{88106EA7-F1E2-496D-A6B9-B15398CC7465}"/>
    <hyperlink ref="G10" r:id="rId7" xr:uid="{EE2FAF71-6A98-426D-A7FA-BBFBD072256A}"/>
    <hyperlink ref="G66" r:id="rId8" xr:uid="{139F7F9B-E562-4D57-A293-B5904C21D0C3}"/>
    <hyperlink ref="G33" r:id="rId9" xr:uid="{5B132454-77CD-4BBD-A8B2-2351F27C5611}"/>
    <hyperlink ref="G11" r:id="rId10" xr:uid="{7396575E-9A3D-434A-89FF-625F0322A9A8}"/>
    <hyperlink ref="G37" r:id="rId11" xr:uid="{3EA1DCD4-81DE-4DEF-A59E-AC0A8076A0F4}"/>
    <hyperlink ref="G21" r:id="rId12" xr:uid="{22BE0F12-D059-4B54-9699-838B03287CF8}"/>
    <hyperlink ref="G22" r:id="rId13" xr:uid="{A9D39282-1467-4EFE-B5EC-CB3673A1D4E2}"/>
    <hyperlink ref="G65" r:id="rId14" display="https://pubs.usgs.gov/periodicals/mcs2023/mcs2023-cement.pdf" xr:uid="{E6880E31-5FFA-4C09-AB0B-F08D6F578A55}"/>
    <hyperlink ref="G14" r:id="rId15" xr:uid="{5F40CBD1-6297-4E14-B0AD-EC8E394D00C8}"/>
    <hyperlink ref="G20" r:id="rId16" display="https://pubs.usgs.gov/periodicals/mcs2023/mcs2023-cement.pdf" xr:uid="{BC03A1E2-69DB-4A62-9B7F-99280B09AE0C}"/>
    <hyperlink ref="G67" r:id="rId17" xr:uid="{80DF8EA3-0AA5-4A38-95BB-B2746C83A0C0}"/>
    <hyperlink ref="G55" r:id="rId18" xr:uid="{C68373AC-A03C-45A0-AAAC-03996DC32FBF}"/>
    <hyperlink ref="G56" r:id="rId19" xr:uid="{E712504D-967F-4CE9-B962-837AF3B3F831}"/>
    <hyperlink ref="G57" r:id="rId20" xr:uid="{4AE08212-FF5C-4251-8881-4B8B894FC329}"/>
    <hyperlink ref="G58" r:id="rId21" xr:uid="{E043ABA2-F33C-482A-BDEA-8F8AD4DA868F}"/>
    <hyperlink ref="G59" r:id="rId22" xr:uid="{CFF675EA-6392-49DF-8DA4-FB5100B0E6EC}"/>
    <hyperlink ref="G60" r:id="rId23" xr:uid="{8DD2388B-5B7D-44FF-AA3C-CA9F97E5C3A3}"/>
  </hyperlinks>
  <pageMargins left="0.7" right="0.7" top="0.75" bottom="0.75" header="0.3" footer="0.3"/>
  <pageSetup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710D3-4801-4296-898C-B719F960586E}">
  <sheetPr codeName="Sheet7">
    <tabColor theme="4" tint="0.39997558519241921"/>
  </sheetPr>
  <dimension ref="A1:I103"/>
  <sheetViews>
    <sheetView showGridLines="0" zoomScale="70" zoomScaleNormal="70" workbookViewId="0">
      <selection activeCell="D97" sqref="D97:D101"/>
    </sheetView>
  </sheetViews>
  <sheetFormatPr baseColWidth="10" defaultColWidth="8.83203125" defaultRowHeight="15"/>
  <cols>
    <col min="2" max="2" width="43.83203125" style="21" customWidth="1"/>
    <col min="3" max="3" width="14.6640625" style="21" customWidth="1"/>
    <col min="4" max="4" width="15.1640625" style="21" customWidth="1"/>
    <col min="5" max="5" width="25.1640625" style="21" customWidth="1"/>
    <col min="6" max="6" width="12.5" style="21" customWidth="1"/>
    <col min="7" max="7" width="46.5" style="21" customWidth="1"/>
    <col min="8" max="8" width="23.5" style="21" customWidth="1"/>
    <col min="9" max="9" width="33.83203125" style="21" customWidth="1"/>
  </cols>
  <sheetData>
    <row r="1" spans="1:9" s="1" customFormat="1">
      <c r="B1" s="2"/>
      <c r="C1" s="2"/>
      <c r="D1" s="2"/>
      <c r="E1" s="2"/>
      <c r="F1" s="2"/>
      <c r="G1" s="2"/>
      <c r="H1" s="2"/>
      <c r="I1" s="2"/>
    </row>
    <row r="2" spans="1:9" s="1" customFormat="1" ht="15" customHeight="1">
      <c r="B2" s="19" t="s">
        <v>371</v>
      </c>
      <c r="C2" s="19"/>
      <c r="D2" s="2"/>
      <c r="E2" s="2"/>
      <c r="F2" s="2"/>
      <c r="G2" s="2"/>
      <c r="H2" s="2"/>
      <c r="I2" s="2"/>
    </row>
    <row r="3" spans="1:9" s="1" customFormat="1" ht="15" customHeight="1">
      <c r="B3" s="19" t="s">
        <v>421</v>
      </c>
      <c r="C3" s="19"/>
      <c r="D3" s="2"/>
      <c r="E3" s="2"/>
      <c r="F3" s="2"/>
      <c r="G3" s="2"/>
      <c r="H3" s="2"/>
      <c r="I3" s="2"/>
    </row>
    <row r="4" spans="1:9" s="4" customFormat="1" ht="15" customHeight="1" thickBot="1">
      <c r="B4" s="5"/>
      <c r="C4" s="5"/>
      <c r="D4" s="5"/>
      <c r="E4" s="5"/>
      <c r="F4" s="5"/>
      <c r="G4" s="5"/>
      <c r="H4" s="5"/>
      <c r="I4" s="5"/>
    </row>
    <row r="6" spans="1:9" ht="14.25" customHeight="1">
      <c r="B6" s="38"/>
      <c r="C6" s="38"/>
    </row>
    <row r="7" spans="1:9">
      <c r="A7" s="9"/>
      <c r="B7" s="53" t="s">
        <v>71</v>
      </c>
      <c r="C7" s="53"/>
      <c r="D7" s="35"/>
      <c r="E7" s="35"/>
      <c r="F7" s="35"/>
      <c r="G7" s="35"/>
      <c r="H7" s="35"/>
      <c r="I7" s="35"/>
    </row>
    <row r="8" spans="1:9">
      <c r="B8" s="24" t="s">
        <v>47</v>
      </c>
      <c r="C8" s="24" t="s">
        <v>48</v>
      </c>
      <c r="D8" s="24" t="s">
        <v>49</v>
      </c>
      <c r="E8" s="24" t="s">
        <v>28</v>
      </c>
      <c r="F8" s="24" t="s">
        <v>50</v>
      </c>
      <c r="G8" s="24" t="s">
        <v>29</v>
      </c>
      <c r="H8" s="24" t="s">
        <v>122</v>
      </c>
      <c r="I8" s="24" t="s">
        <v>123</v>
      </c>
    </row>
    <row r="10" spans="1:9">
      <c r="B10" s="92" t="s">
        <v>204</v>
      </c>
      <c r="C10" s="92"/>
    </row>
    <row r="11" spans="1:9">
      <c r="B11" s="20" t="s">
        <v>72</v>
      </c>
      <c r="C11" s="93" t="s">
        <v>422</v>
      </c>
      <c r="D11" s="27" t="s">
        <v>52</v>
      </c>
      <c r="E11" s="21" t="s">
        <v>423</v>
      </c>
      <c r="F11" s="21">
        <v>2022</v>
      </c>
      <c r="G11" s="51" t="s">
        <v>424</v>
      </c>
      <c r="H11" s="21" t="s">
        <v>425</v>
      </c>
    </row>
    <row r="12" spans="1:9">
      <c r="B12" s="20" t="s">
        <v>73</v>
      </c>
      <c r="C12" s="93" t="s">
        <v>426</v>
      </c>
      <c r="D12" s="27" t="s">
        <v>52</v>
      </c>
      <c r="E12" s="21" t="s">
        <v>374</v>
      </c>
      <c r="F12" s="21">
        <v>2021</v>
      </c>
      <c r="G12" s="51" t="s">
        <v>375</v>
      </c>
      <c r="H12" s="21" t="s">
        <v>428</v>
      </c>
    </row>
    <row r="13" spans="1:9">
      <c r="B13" s="20" t="s">
        <v>74</v>
      </c>
      <c r="C13" s="93" t="s">
        <v>427</v>
      </c>
      <c r="D13" s="27" t="s">
        <v>52</v>
      </c>
      <c r="E13" s="21" t="s">
        <v>374</v>
      </c>
      <c r="F13" s="21">
        <v>2021</v>
      </c>
      <c r="G13" s="51" t="s">
        <v>375</v>
      </c>
      <c r="H13" s="21" t="s">
        <v>428</v>
      </c>
    </row>
    <row r="14" spans="1:9">
      <c r="B14" s="20"/>
      <c r="C14" s="20"/>
      <c r="D14" s="27"/>
    </row>
    <row r="15" spans="1:9">
      <c r="B15" s="25" t="s">
        <v>429</v>
      </c>
      <c r="C15" s="25"/>
    </row>
    <row r="16" spans="1:9">
      <c r="B16" s="20" t="s">
        <v>72</v>
      </c>
      <c r="C16" s="198">
        <v>0.95</v>
      </c>
      <c r="D16" s="21" t="s">
        <v>33</v>
      </c>
      <c r="E16" s="21" t="s">
        <v>423</v>
      </c>
      <c r="F16" s="21">
        <v>2022</v>
      </c>
      <c r="G16" s="51" t="s">
        <v>424</v>
      </c>
      <c r="H16" s="21" t="s">
        <v>430</v>
      </c>
    </row>
    <row r="17" spans="1:9">
      <c r="B17" s="20" t="s">
        <v>73</v>
      </c>
      <c r="C17" s="102" t="s">
        <v>431</v>
      </c>
      <c r="D17" s="21" t="s">
        <v>33</v>
      </c>
      <c r="E17" s="27" t="s">
        <v>52</v>
      </c>
      <c r="F17" s="27" t="s">
        <v>52</v>
      </c>
      <c r="G17" s="60" t="s">
        <v>432</v>
      </c>
      <c r="H17" s="27" t="s">
        <v>52</v>
      </c>
    </row>
    <row r="18" spans="1:9">
      <c r="B18" s="20" t="s">
        <v>74</v>
      </c>
      <c r="C18" s="198">
        <v>0.4</v>
      </c>
      <c r="D18" s="21" t="s">
        <v>33</v>
      </c>
      <c r="E18" s="27" t="s">
        <v>52</v>
      </c>
      <c r="F18" s="27" t="s">
        <v>52</v>
      </c>
      <c r="G18" s="27" t="s">
        <v>52</v>
      </c>
      <c r="H18" s="27" t="s">
        <v>52</v>
      </c>
    </row>
    <row r="19" spans="1:9">
      <c r="B19" s="20"/>
      <c r="C19" s="20"/>
      <c r="E19" s="27"/>
      <c r="F19" s="27"/>
      <c r="G19" s="27"/>
      <c r="H19" s="27"/>
    </row>
    <row r="20" spans="1:9">
      <c r="B20" s="25" t="s">
        <v>433</v>
      </c>
      <c r="C20" s="25"/>
    </row>
    <row r="21" spans="1:9">
      <c r="B21" s="20" t="s">
        <v>72</v>
      </c>
      <c r="C21" s="177" t="s">
        <v>434</v>
      </c>
      <c r="D21" s="21" t="s">
        <v>33</v>
      </c>
      <c r="E21" s="21" t="s">
        <v>423</v>
      </c>
      <c r="F21" s="21">
        <v>2022</v>
      </c>
      <c r="G21" s="51" t="s">
        <v>424</v>
      </c>
      <c r="H21" s="21" t="s">
        <v>435</v>
      </c>
    </row>
    <row r="22" spans="1:9">
      <c r="B22" s="20" t="s">
        <v>73</v>
      </c>
      <c r="C22" s="38" t="s">
        <v>42</v>
      </c>
      <c r="D22" s="21" t="s">
        <v>33</v>
      </c>
      <c r="E22" s="27" t="s">
        <v>52</v>
      </c>
      <c r="F22" s="27" t="s">
        <v>52</v>
      </c>
      <c r="G22" s="27" t="s">
        <v>52</v>
      </c>
      <c r="H22" s="27" t="s">
        <v>52</v>
      </c>
    </row>
    <row r="23" spans="1:9">
      <c r="B23" s="20" t="s">
        <v>74</v>
      </c>
      <c r="C23" s="38" t="s">
        <v>42</v>
      </c>
      <c r="D23" s="21" t="s">
        <v>33</v>
      </c>
      <c r="E23" s="27" t="s">
        <v>52</v>
      </c>
      <c r="F23" s="27" t="s">
        <v>52</v>
      </c>
      <c r="G23" s="27" t="s">
        <v>52</v>
      </c>
      <c r="H23" s="27" t="s">
        <v>52</v>
      </c>
    </row>
    <row r="24" spans="1:9">
      <c r="B24" s="20"/>
      <c r="C24" s="20"/>
      <c r="D24" s="27"/>
    </row>
    <row r="25" spans="1:9">
      <c r="B25" s="25" t="s">
        <v>236</v>
      </c>
      <c r="C25" s="25"/>
    </row>
    <row r="26" spans="1:9">
      <c r="B26" s="20" t="s">
        <v>72</v>
      </c>
      <c r="C26" s="102" t="s">
        <v>438</v>
      </c>
      <c r="D26" s="21" t="s">
        <v>33</v>
      </c>
      <c r="E26" s="21" t="s">
        <v>298</v>
      </c>
      <c r="F26" s="21">
        <v>2021</v>
      </c>
      <c r="G26" s="51" t="s">
        <v>436</v>
      </c>
    </row>
    <row r="27" spans="1:9">
      <c r="B27" s="20" t="s">
        <v>73</v>
      </c>
      <c r="C27" s="20">
        <v>0</v>
      </c>
      <c r="D27" s="21" t="s">
        <v>33</v>
      </c>
      <c r="E27" s="27" t="s">
        <v>52</v>
      </c>
      <c r="F27" s="27" t="s">
        <v>52</v>
      </c>
      <c r="G27" s="27" t="s">
        <v>52</v>
      </c>
      <c r="H27" s="27" t="s">
        <v>52</v>
      </c>
    </row>
    <row r="28" spans="1:9">
      <c r="B28" s="20" t="s">
        <v>74</v>
      </c>
      <c r="C28" s="20">
        <v>0</v>
      </c>
      <c r="D28" s="21" t="s">
        <v>33</v>
      </c>
      <c r="E28" s="27" t="s">
        <v>52</v>
      </c>
      <c r="F28" s="27" t="s">
        <v>52</v>
      </c>
      <c r="G28" s="27" t="s">
        <v>52</v>
      </c>
      <c r="H28" s="27" t="s">
        <v>52</v>
      </c>
    </row>
    <row r="30" spans="1:9">
      <c r="A30" s="9">
        <v>2</v>
      </c>
      <c r="B30" s="53" t="s">
        <v>82</v>
      </c>
      <c r="C30" s="53"/>
      <c r="D30" s="35"/>
      <c r="E30" s="35"/>
      <c r="F30" s="35"/>
      <c r="G30" s="35"/>
      <c r="H30" s="35"/>
      <c r="I30" s="35"/>
    </row>
    <row r="31" spans="1:9">
      <c r="B31" s="24" t="s">
        <v>47</v>
      </c>
      <c r="C31" s="24" t="s">
        <v>48</v>
      </c>
      <c r="D31" s="24" t="s">
        <v>49</v>
      </c>
      <c r="E31" s="24" t="s">
        <v>28</v>
      </c>
      <c r="F31" s="24" t="s">
        <v>50</v>
      </c>
      <c r="G31" s="24" t="s">
        <v>29</v>
      </c>
      <c r="H31" s="24" t="s">
        <v>122</v>
      </c>
      <c r="I31" s="24" t="s">
        <v>123</v>
      </c>
    </row>
    <row r="33" spans="2:9">
      <c r="B33" s="25" t="s">
        <v>240</v>
      </c>
      <c r="C33" s="25"/>
    </row>
    <row r="34" spans="2:9">
      <c r="B34" s="20" t="s">
        <v>72</v>
      </c>
      <c r="C34" s="44">
        <v>0.9</v>
      </c>
      <c r="D34" s="21" t="s">
        <v>33</v>
      </c>
      <c r="E34" s="27" t="s">
        <v>51</v>
      </c>
      <c r="F34" s="27">
        <v>2020</v>
      </c>
      <c r="G34" s="27" t="s">
        <v>31</v>
      </c>
      <c r="H34" s="21" t="s">
        <v>440</v>
      </c>
      <c r="I34" s="21" t="s">
        <v>441</v>
      </c>
    </row>
    <row r="35" spans="2:9">
      <c r="B35" s="20" t="s">
        <v>73</v>
      </c>
      <c r="C35" s="21" t="s">
        <v>442</v>
      </c>
      <c r="D35" s="27" t="s">
        <v>33</v>
      </c>
      <c r="E35" s="27" t="s">
        <v>52</v>
      </c>
      <c r="F35" s="27" t="s">
        <v>52</v>
      </c>
      <c r="G35" s="27" t="s">
        <v>52</v>
      </c>
      <c r="I35" s="21" t="s">
        <v>132</v>
      </c>
    </row>
    <row r="36" spans="2:9">
      <c r="B36" s="20" t="s">
        <v>74</v>
      </c>
      <c r="C36" s="21" t="s">
        <v>442</v>
      </c>
      <c r="D36" s="27" t="s">
        <v>33</v>
      </c>
      <c r="E36" s="27" t="s">
        <v>52</v>
      </c>
      <c r="F36" s="27" t="s">
        <v>52</v>
      </c>
      <c r="G36" s="27" t="s">
        <v>52</v>
      </c>
      <c r="I36" s="21" t="s">
        <v>132</v>
      </c>
    </row>
    <row r="38" spans="2:9">
      <c r="B38" s="25" t="s">
        <v>254</v>
      </c>
      <c r="C38" s="25"/>
    </row>
    <row r="39" spans="2:9">
      <c r="B39" s="21" t="s">
        <v>443</v>
      </c>
      <c r="C39" s="38" t="s">
        <v>42</v>
      </c>
      <c r="D39" s="21" t="s">
        <v>444</v>
      </c>
      <c r="E39" s="27" t="s">
        <v>52</v>
      </c>
      <c r="F39" s="27" t="s">
        <v>52</v>
      </c>
      <c r="G39" s="27" t="s">
        <v>52</v>
      </c>
    </row>
    <row r="40" spans="2:9">
      <c r="B40" s="21" t="s">
        <v>445</v>
      </c>
      <c r="C40" s="38" t="s">
        <v>42</v>
      </c>
      <c r="D40" s="21" t="s">
        <v>446</v>
      </c>
      <c r="E40" s="27"/>
      <c r="F40" s="27"/>
      <c r="G40" s="27"/>
    </row>
    <row r="41" spans="2:9">
      <c r="B41" s="40" t="s">
        <v>258</v>
      </c>
      <c r="C41" s="46">
        <v>1.95</v>
      </c>
      <c r="D41" s="40" t="s">
        <v>259</v>
      </c>
      <c r="E41" s="21" t="s">
        <v>260</v>
      </c>
      <c r="F41" s="21">
        <v>2021</v>
      </c>
      <c r="G41" s="51" t="s">
        <v>261</v>
      </c>
      <c r="H41" s="21" t="s">
        <v>262</v>
      </c>
      <c r="I41" s="21" t="s">
        <v>263</v>
      </c>
    </row>
    <row r="42" spans="2:9">
      <c r="B42" s="29" t="s">
        <v>264</v>
      </c>
      <c r="C42" s="84" t="s">
        <v>52</v>
      </c>
      <c r="D42" s="40" t="s">
        <v>33</v>
      </c>
      <c r="E42" s="21" t="s">
        <v>51</v>
      </c>
      <c r="F42" s="21">
        <v>2022</v>
      </c>
      <c r="G42" s="51" t="s">
        <v>19</v>
      </c>
      <c r="H42" s="21" t="s">
        <v>265</v>
      </c>
      <c r="I42" s="21" t="s">
        <v>447</v>
      </c>
    </row>
    <row r="43" spans="2:9">
      <c r="B43" s="20" t="s">
        <v>266</v>
      </c>
      <c r="C43" s="21">
        <v>4.5</v>
      </c>
      <c r="D43" s="21" t="s">
        <v>267</v>
      </c>
      <c r="E43" s="21" t="s">
        <v>268</v>
      </c>
      <c r="F43" s="21">
        <v>2020</v>
      </c>
      <c r="G43" s="51" t="s">
        <v>269</v>
      </c>
      <c r="H43" s="21" t="s">
        <v>270</v>
      </c>
      <c r="I43" s="21" t="s">
        <v>271</v>
      </c>
    </row>
    <row r="44" spans="2:9">
      <c r="B44" s="21" t="s">
        <v>448</v>
      </c>
      <c r="C44" s="42" t="str">
        <f>IFERROR("N/A",C39*C41)</f>
        <v>N/A</v>
      </c>
      <c r="D44" s="21" t="s">
        <v>267</v>
      </c>
      <c r="E44" s="27" t="s">
        <v>52</v>
      </c>
      <c r="F44" s="27" t="s">
        <v>52</v>
      </c>
      <c r="G44" s="27" t="s">
        <v>52</v>
      </c>
    </row>
    <row r="45" spans="2:9">
      <c r="B45" s="20"/>
      <c r="C45" s="20"/>
    </row>
    <row r="46" spans="2:9">
      <c r="B46" s="25" t="s">
        <v>449</v>
      </c>
      <c r="C46" s="25"/>
    </row>
    <row r="47" spans="2:9">
      <c r="B47" s="21" t="s">
        <v>443</v>
      </c>
      <c r="C47" s="21">
        <v>5</v>
      </c>
      <c r="D47" s="21" t="s">
        <v>44</v>
      </c>
      <c r="E47" s="40" t="s">
        <v>51</v>
      </c>
      <c r="F47" s="40">
        <v>2022</v>
      </c>
      <c r="G47" s="51" t="s">
        <v>450</v>
      </c>
      <c r="H47" s="21" t="s">
        <v>451</v>
      </c>
      <c r="I47" s="21" t="s">
        <v>452</v>
      </c>
    </row>
    <row r="48" spans="2:9">
      <c r="B48" s="29" t="s">
        <v>283</v>
      </c>
      <c r="C48" s="21">
        <v>12</v>
      </c>
      <c r="D48" s="40" t="s">
        <v>284</v>
      </c>
      <c r="E48" s="21" t="s">
        <v>285</v>
      </c>
      <c r="F48" s="21">
        <v>2021</v>
      </c>
      <c r="G48" s="27" t="s">
        <v>52</v>
      </c>
      <c r="H48" s="27" t="s">
        <v>52</v>
      </c>
      <c r="I48" s="27" t="s">
        <v>286</v>
      </c>
    </row>
    <row r="49" spans="1:9">
      <c r="B49" s="29" t="s">
        <v>287</v>
      </c>
      <c r="C49" s="21">
        <v>4</v>
      </c>
      <c r="D49" s="40" t="s">
        <v>284</v>
      </c>
      <c r="E49" s="21" t="s">
        <v>285</v>
      </c>
      <c r="F49" s="21">
        <v>2021</v>
      </c>
      <c r="G49" s="27" t="s">
        <v>52</v>
      </c>
      <c r="H49" s="27" t="s">
        <v>52</v>
      </c>
      <c r="I49" s="27" t="s">
        <v>286</v>
      </c>
    </row>
    <row r="50" spans="1:9">
      <c r="B50" s="29" t="s">
        <v>453</v>
      </c>
      <c r="C50" s="95">
        <f>C48*C47</f>
        <v>60</v>
      </c>
      <c r="D50" s="40" t="s">
        <v>284</v>
      </c>
      <c r="E50" s="27" t="s">
        <v>52</v>
      </c>
      <c r="F50" s="27" t="s">
        <v>52</v>
      </c>
      <c r="G50" s="27" t="s">
        <v>52</v>
      </c>
      <c r="H50" s="27" t="s">
        <v>52</v>
      </c>
      <c r="I50" s="21" t="s">
        <v>454</v>
      </c>
    </row>
    <row r="51" spans="1:9">
      <c r="B51" s="29" t="s">
        <v>455</v>
      </c>
      <c r="C51" s="95">
        <f>C49*C47</f>
        <v>20</v>
      </c>
      <c r="D51" s="40" t="s">
        <v>284</v>
      </c>
      <c r="E51" s="27" t="s">
        <v>52</v>
      </c>
      <c r="F51" s="27" t="s">
        <v>52</v>
      </c>
      <c r="G51" s="27" t="s">
        <v>52</v>
      </c>
      <c r="H51" s="27" t="s">
        <v>52</v>
      </c>
    </row>
    <row r="53" spans="1:9">
      <c r="B53" s="25" t="s">
        <v>288</v>
      </c>
      <c r="C53" s="25"/>
    </row>
    <row r="54" spans="1:9">
      <c r="B54" s="25" t="s">
        <v>106</v>
      </c>
      <c r="E54" s="27"/>
      <c r="F54" s="27"/>
      <c r="G54" s="27"/>
    </row>
    <row r="55" spans="1:9">
      <c r="B55" s="20" t="s">
        <v>1493</v>
      </c>
      <c r="C55" s="95">
        <v>1370</v>
      </c>
      <c r="D55" s="21" t="s">
        <v>278</v>
      </c>
      <c r="E55" s="21" t="s">
        <v>374</v>
      </c>
      <c r="F55" s="21">
        <v>2021</v>
      </c>
      <c r="G55" s="51" t="s">
        <v>375</v>
      </c>
    </row>
    <row r="56" spans="1:9">
      <c r="B56" s="20" t="s">
        <v>1495</v>
      </c>
      <c r="C56" s="131">
        <v>175</v>
      </c>
      <c r="D56" s="21" t="s">
        <v>297</v>
      </c>
      <c r="E56" s="21" t="s">
        <v>298</v>
      </c>
      <c r="G56" s="63" t="s">
        <v>457</v>
      </c>
      <c r="I56" s="21" t="s">
        <v>458</v>
      </c>
    </row>
    <row r="57" spans="1:9">
      <c r="B57" s="20" t="s">
        <v>1494</v>
      </c>
      <c r="C57" s="149">
        <v>80</v>
      </c>
      <c r="D57" s="21" t="s">
        <v>297</v>
      </c>
      <c r="E57" s="21" t="s">
        <v>298</v>
      </c>
      <c r="G57" s="63" t="s">
        <v>457</v>
      </c>
      <c r="I57" s="21" t="s">
        <v>460</v>
      </c>
    </row>
    <row r="58" spans="1:9">
      <c r="B58" s="29" t="s">
        <v>453</v>
      </c>
      <c r="C58" s="95">
        <f>C56*$C$55/1000</f>
        <v>239.75</v>
      </c>
      <c r="D58" s="27" t="s">
        <v>53</v>
      </c>
      <c r="E58" s="27" t="s">
        <v>52</v>
      </c>
      <c r="F58" s="27" t="s">
        <v>52</v>
      </c>
      <c r="G58" s="27" t="s">
        <v>52</v>
      </c>
    </row>
    <row r="59" spans="1:9">
      <c r="B59" s="29" t="s">
        <v>455</v>
      </c>
      <c r="C59" s="95">
        <f>C57*$C$55/1000</f>
        <v>109.6</v>
      </c>
      <c r="D59" s="27" t="s">
        <v>53</v>
      </c>
      <c r="E59" s="27" t="s">
        <v>52</v>
      </c>
      <c r="F59" s="27" t="s">
        <v>52</v>
      </c>
      <c r="G59" s="27" t="s">
        <v>52</v>
      </c>
    </row>
    <row r="61" spans="1:9">
      <c r="A61" s="9">
        <v>3</v>
      </c>
      <c r="B61" s="53" t="s">
        <v>62</v>
      </c>
      <c r="C61" s="53"/>
      <c r="D61" s="35"/>
      <c r="E61" s="35"/>
      <c r="F61" s="35"/>
      <c r="G61" s="35"/>
      <c r="H61" s="35"/>
      <c r="I61" s="35"/>
    </row>
    <row r="62" spans="1:9">
      <c r="B62" s="24" t="s">
        <v>47</v>
      </c>
      <c r="C62" s="24" t="s">
        <v>48</v>
      </c>
      <c r="D62" s="24" t="s">
        <v>49</v>
      </c>
      <c r="E62" s="24" t="s">
        <v>28</v>
      </c>
      <c r="F62" s="24" t="s">
        <v>50</v>
      </c>
      <c r="G62" s="24" t="s">
        <v>29</v>
      </c>
      <c r="H62" s="24" t="s">
        <v>122</v>
      </c>
      <c r="I62" s="24" t="s">
        <v>123</v>
      </c>
    </row>
    <row r="64" spans="1:9">
      <c r="B64" s="21" t="s">
        <v>304</v>
      </c>
      <c r="C64" s="21">
        <v>0</v>
      </c>
      <c r="D64" s="21" t="s">
        <v>33</v>
      </c>
      <c r="E64" s="27" t="s">
        <v>52</v>
      </c>
      <c r="F64" s="27" t="s">
        <v>52</v>
      </c>
      <c r="G64" s="27" t="s">
        <v>52</v>
      </c>
      <c r="H64" s="27" t="s">
        <v>52</v>
      </c>
    </row>
    <row r="65" spans="1:9">
      <c r="B65" s="21" t="s">
        <v>461</v>
      </c>
      <c r="C65" s="95" t="str">
        <f>C21</f>
        <v>+ 60 – 100%</v>
      </c>
      <c r="E65" s="27"/>
      <c r="F65" s="27"/>
      <c r="G65" s="27"/>
      <c r="H65" s="27"/>
    </row>
    <row r="66" spans="1:9">
      <c r="B66" s="21" t="s">
        <v>465</v>
      </c>
      <c r="C66" s="42">
        <f>C69*100%</f>
        <v>76</v>
      </c>
      <c r="D66" s="21" t="s">
        <v>463</v>
      </c>
      <c r="E66" s="27" t="s">
        <v>52</v>
      </c>
      <c r="F66" s="27" t="s">
        <v>52</v>
      </c>
      <c r="G66" s="27" t="s">
        <v>52</v>
      </c>
      <c r="H66" s="21" t="s">
        <v>466</v>
      </c>
    </row>
    <row r="67" spans="1:9">
      <c r="B67" s="21" t="s">
        <v>462</v>
      </c>
      <c r="C67" s="42">
        <f>C69*60%</f>
        <v>45.6</v>
      </c>
      <c r="D67" s="21" t="s">
        <v>463</v>
      </c>
      <c r="E67" s="27" t="s">
        <v>52</v>
      </c>
      <c r="F67" s="27" t="s">
        <v>52</v>
      </c>
      <c r="G67" s="27" t="s">
        <v>52</v>
      </c>
      <c r="H67" s="21" t="s">
        <v>464</v>
      </c>
    </row>
    <row r="68" spans="1:9">
      <c r="E68" s="27"/>
      <c r="F68" s="27"/>
      <c r="G68" s="27"/>
      <c r="H68" s="27"/>
    </row>
    <row r="69" spans="1:9">
      <c r="B69" s="21" t="s">
        <v>467</v>
      </c>
      <c r="C69" s="21">
        <v>76</v>
      </c>
      <c r="D69" s="21" t="s">
        <v>463</v>
      </c>
      <c r="F69" s="21">
        <v>2021</v>
      </c>
      <c r="G69" s="51"/>
      <c r="I69" s="21" t="s">
        <v>468</v>
      </c>
    </row>
    <row r="70" spans="1:9">
      <c r="B70" s="21" t="s">
        <v>469</v>
      </c>
      <c r="C70" s="21">
        <v>328</v>
      </c>
      <c r="D70" s="21" t="s">
        <v>53</v>
      </c>
      <c r="E70" s="27" t="s">
        <v>52</v>
      </c>
      <c r="F70" s="21">
        <v>2021</v>
      </c>
      <c r="G70" s="51" t="s">
        <v>470</v>
      </c>
      <c r="H70" s="27" t="s">
        <v>52</v>
      </c>
      <c r="I70" s="51"/>
    </row>
    <row r="71" spans="1:9">
      <c r="E71" s="27"/>
      <c r="F71" s="27"/>
      <c r="H71" s="27"/>
    </row>
    <row r="72" spans="1:9">
      <c r="B72" s="21" t="s">
        <v>472</v>
      </c>
      <c r="C72" s="42">
        <f>100%*$C$70</f>
        <v>328</v>
      </c>
      <c r="D72" s="21" t="s">
        <v>53</v>
      </c>
      <c r="E72" s="27" t="s">
        <v>52</v>
      </c>
      <c r="F72" s="27" t="s">
        <v>52</v>
      </c>
      <c r="G72" s="27" t="s">
        <v>52</v>
      </c>
      <c r="H72" s="27" t="s">
        <v>52</v>
      </c>
    </row>
    <row r="73" spans="1:9">
      <c r="B73" s="21" t="s">
        <v>471</v>
      </c>
      <c r="C73" s="42">
        <f>60%*$C$70</f>
        <v>196.79999999999998</v>
      </c>
      <c r="D73" s="21" t="s">
        <v>53</v>
      </c>
      <c r="E73" s="27" t="s">
        <v>52</v>
      </c>
      <c r="F73" s="27" t="s">
        <v>52</v>
      </c>
      <c r="G73" s="27" t="s">
        <v>52</v>
      </c>
      <c r="H73" s="27" t="s">
        <v>52</v>
      </c>
    </row>
    <row r="74" spans="1:9">
      <c r="F74" s="27"/>
      <c r="G74" s="27"/>
      <c r="H74" s="27"/>
    </row>
    <row r="75" spans="1:9">
      <c r="B75" s="21" t="s">
        <v>473</v>
      </c>
      <c r="C75" s="93" t="s">
        <v>474</v>
      </c>
      <c r="D75" s="21" t="s">
        <v>33</v>
      </c>
      <c r="E75" s="21" t="s">
        <v>475</v>
      </c>
      <c r="F75" s="21">
        <v>2021</v>
      </c>
      <c r="G75" s="21" t="s">
        <v>476</v>
      </c>
      <c r="I75" s="21" t="s">
        <v>477</v>
      </c>
    </row>
    <row r="76" spans="1:9">
      <c r="B76" s="21" t="s">
        <v>478</v>
      </c>
      <c r="C76" s="21" t="s">
        <v>479</v>
      </c>
      <c r="D76" s="21" t="s">
        <v>33</v>
      </c>
      <c r="F76" s="21">
        <v>2021</v>
      </c>
      <c r="I76" s="21" t="s">
        <v>480</v>
      </c>
    </row>
    <row r="78" spans="1:9">
      <c r="A78" s="9">
        <v>4</v>
      </c>
      <c r="B78" s="53" t="s">
        <v>70</v>
      </c>
      <c r="C78" s="53"/>
      <c r="D78" s="35"/>
      <c r="E78" s="35"/>
      <c r="F78" s="35"/>
      <c r="G78" s="35"/>
      <c r="H78" s="35"/>
      <c r="I78" s="35"/>
    </row>
    <row r="79" spans="1:9">
      <c r="B79" s="24" t="s">
        <v>47</v>
      </c>
      <c r="C79" s="24" t="s">
        <v>48</v>
      </c>
      <c r="D79" s="24" t="s">
        <v>49</v>
      </c>
      <c r="E79" s="24" t="s">
        <v>28</v>
      </c>
      <c r="F79" s="24" t="s">
        <v>50</v>
      </c>
      <c r="G79" s="24" t="s">
        <v>29</v>
      </c>
      <c r="H79" s="24" t="s">
        <v>122</v>
      </c>
      <c r="I79" s="24" t="s">
        <v>123</v>
      </c>
    </row>
    <row r="81" spans="1:9">
      <c r="B81" s="25" t="s">
        <v>482</v>
      </c>
      <c r="C81" s="25"/>
    </row>
    <row r="82" spans="1:9">
      <c r="B82" s="20" t="s">
        <v>483</v>
      </c>
      <c r="C82" s="20" t="s">
        <v>484</v>
      </c>
      <c r="D82" s="21" t="s">
        <v>485</v>
      </c>
      <c r="E82" s="27" t="s">
        <v>52</v>
      </c>
      <c r="F82" s="27" t="s">
        <v>52</v>
      </c>
      <c r="G82" s="27" t="s">
        <v>52</v>
      </c>
      <c r="H82" s="27" t="s">
        <v>52</v>
      </c>
    </row>
    <row r="83" spans="1:9">
      <c r="B83" s="25" t="s">
        <v>487</v>
      </c>
      <c r="C83" s="25"/>
      <c r="E83" s="27"/>
      <c r="F83" s="27"/>
      <c r="G83" s="27"/>
      <c r="H83" s="27"/>
    </row>
    <row r="84" spans="1:9">
      <c r="B84" s="20" t="s">
        <v>483</v>
      </c>
      <c r="C84" s="20">
        <v>4.0999999999999996</v>
      </c>
      <c r="D84" s="21" t="s">
        <v>485</v>
      </c>
      <c r="F84" s="21">
        <v>2022</v>
      </c>
      <c r="G84" s="51"/>
      <c r="I84" s="21" t="s">
        <v>488</v>
      </c>
    </row>
    <row r="85" spans="1:9">
      <c r="B85" s="25" t="s">
        <v>350</v>
      </c>
      <c r="C85" s="25"/>
      <c r="E85" s="27"/>
      <c r="F85" s="27"/>
      <c r="G85" s="27"/>
      <c r="H85" s="27"/>
    </row>
    <row r="86" spans="1:9">
      <c r="B86" s="20" t="s">
        <v>1496</v>
      </c>
      <c r="C86" s="21">
        <f>150*1.1</f>
        <v>165</v>
      </c>
      <c r="E86" s="21" t="s">
        <v>423</v>
      </c>
      <c r="F86" s="21">
        <v>2022</v>
      </c>
      <c r="G86" s="51" t="s">
        <v>424</v>
      </c>
      <c r="H86" s="21" t="s">
        <v>435</v>
      </c>
      <c r="I86"/>
    </row>
    <row r="87" spans="1:9">
      <c r="B87" s="20" t="s">
        <v>351</v>
      </c>
      <c r="C87" s="21">
        <f>132*1.1</f>
        <v>145.20000000000002</v>
      </c>
      <c r="D87" s="21" t="s">
        <v>463</v>
      </c>
      <c r="E87" s="21" t="s">
        <v>423</v>
      </c>
      <c r="F87" s="21">
        <v>2022</v>
      </c>
      <c r="G87" s="51" t="s">
        <v>424</v>
      </c>
      <c r="H87" s="21" t="s">
        <v>435</v>
      </c>
      <c r="I87" s="21" t="s">
        <v>489</v>
      </c>
    </row>
    <row r="88" spans="1:9">
      <c r="B88" s="20" t="s">
        <v>1498</v>
      </c>
      <c r="C88" s="95">
        <f>C86*C84</f>
        <v>676.49999999999989</v>
      </c>
      <c r="E88" s="27"/>
      <c r="F88" s="27"/>
      <c r="G88" s="27"/>
      <c r="H88" s="27"/>
    </row>
    <row r="89" spans="1:9">
      <c r="B89" s="20" t="s">
        <v>1499</v>
      </c>
      <c r="C89" s="95">
        <f>C87*C84</f>
        <v>595.32000000000005</v>
      </c>
      <c r="D89" s="21" t="s">
        <v>53</v>
      </c>
      <c r="E89" s="27" t="s">
        <v>52</v>
      </c>
      <c r="F89" s="27" t="s">
        <v>52</v>
      </c>
      <c r="G89" s="27" t="s">
        <v>52</v>
      </c>
      <c r="H89" s="27" t="s">
        <v>52</v>
      </c>
      <c r="I89" s="21" t="s">
        <v>490</v>
      </c>
    </row>
    <row r="90" spans="1:9">
      <c r="B90" s="20"/>
      <c r="C90" s="40"/>
      <c r="E90" s="27"/>
      <c r="F90" s="27"/>
      <c r="G90" s="27"/>
      <c r="H90" s="27"/>
    </row>
    <row r="91" spans="1:9">
      <c r="B91" s="25" t="s">
        <v>491</v>
      </c>
      <c r="C91" s="25"/>
    </row>
    <row r="92" spans="1:9">
      <c r="B92" s="20" t="s">
        <v>54</v>
      </c>
      <c r="C92" s="93">
        <v>42</v>
      </c>
      <c r="D92" s="27" t="s">
        <v>53</v>
      </c>
      <c r="E92" s="21" t="s">
        <v>357</v>
      </c>
      <c r="F92" s="21">
        <v>2022</v>
      </c>
      <c r="I92" s="21" t="s">
        <v>358</v>
      </c>
    </row>
    <row r="93" spans="1:9">
      <c r="B93" s="20" t="s">
        <v>359</v>
      </c>
      <c r="C93" s="96">
        <v>0.12</v>
      </c>
      <c r="D93" s="21" t="s">
        <v>33</v>
      </c>
      <c r="E93" s="21" t="s">
        <v>357</v>
      </c>
      <c r="F93" s="21">
        <v>2022</v>
      </c>
    </row>
    <row r="94" spans="1:9">
      <c r="A94" s="144"/>
      <c r="B94" s="20" t="s">
        <v>363</v>
      </c>
      <c r="C94" s="199">
        <v>9.7100000000000006E-2</v>
      </c>
      <c r="D94" s="21" t="s">
        <v>33</v>
      </c>
      <c r="E94" s="21" t="s">
        <v>364</v>
      </c>
      <c r="F94" s="21">
        <v>2022</v>
      </c>
      <c r="G94" s="51" t="s">
        <v>493</v>
      </c>
      <c r="H94" s="27" t="s">
        <v>366</v>
      </c>
    </row>
    <row r="95" spans="1:9">
      <c r="F95" s="27"/>
      <c r="I95"/>
    </row>
    <row r="96" spans="1:9">
      <c r="B96" s="194" t="s">
        <v>1484</v>
      </c>
      <c r="F96" s="27"/>
      <c r="I96"/>
    </row>
    <row r="97" spans="2:9">
      <c r="B97" s="20" t="s">
        <v>1485</v>
      </c>
      <c r="C97" s="101">
        <v>9.0999999999999998E-2</v>
      </c>
      <c r="D97" s="21" t="s">
        <v>33</v>
      </c>
      <c r="E97" s="21" t="s">
        <v>1490</v>
      </c>
      <c r="F97" s="21">
        <v>2023</v>
      </c>
      <c r="G97" s="60" t="s">
        <v>1491</v>
      </c>
      <c r="I97"/>
    </row>
    <row r="98" spans="2:9">
      <c r="B98" s="20" t="s">
        <v>1486</v>
      </c>
      <c r="C98" s="101">
        <v>0.159</v>
      </c>
      <c r="D98" s="21" t="s">
        <v>33</v>
      </c>
      <c r="E98" s="21" t="s">
        <v>1490</v>
      </c>
      <c r="F98" s="21">
        <v>2023</v>
      </c>
      <c r="G98" s="60" t="s">
        <v>1491</v>
      </c>
      <c r="I98"/>
    </row>
    <row r="99" spans="2:9">
      <c r="B99" s="20" t="s">
        <v>1487</v>
      </c>
      <c r="C99" s="101">
        <v>0.13600000000000001</v>
      </c>
      <c r="D99" s="21" t="s">
        <v>33</v>
      </c>
      <c r="E99" s="21" t="s">
        <v>1490</v>
      </c>
      <c r="F99" s="21">
        <v>2023</v>
      </c>
      <c r="G99" s="60" t="s">
        <v>1491</v>
      </c>
      <c r="I99"/>
    </row>
    <row r="100" spans="2:9">
      <c r="B100" s="20" t="s">
        <v>1488</v>
      </c>
      <c r="C100" s="101">
        <v>0.5</v>
      </c>
      <c r="D100" s="21" t="s">
        <v>33</v>
      </c>
      <c r="E100" s="21" t="s">
        <v>1490</v>
      </c>
      <c r="F100" s="21">
        <v>2023</v>
      </c>
      <c r="G100" s="60" t="s">
        <v>1491</v>
      </c>
      <c r="I100"/>
    </row>
    <row r="101" spans="2:9">
      <c r="B101" s="20" t="s">
        <v>1489</v>
      </c>
      <c r="C101" s="101">
        <v>0.114</v>
      </c>
      <c r="D101" s="21" t="s">
        <v>33</v>
      </c>
      <c r="E101" s="21" t="s">
        <v>1490</v>
      </c>
      <c r="F101" s="21">
        <v>2023</v>
      </c>
      <c r="G101" s="60" t="s">
        <v>1491</v>
      </c>
      <c r="I101"/>
    </row>
    <row r="103" spans="2:9" s="18" customFormat="1">
      <c r="B103" s="53" t="s">
        <v>370</v>
      </c>
      <c r="C103" s="53"/>
      <c r="D103" s="35"/>
      <c r="E103" s="35"/>
      <c r="F103" s="35"/>
      <c r="G103" s="35"/>
      <c r="H103" s="35"/>
      <c r="I103" s="35"/>
    </row>
  </sheetData>
  <phoneticPr fontId="16" type="noConversion"/>
  <hyperlinks>
    <hyperlink ref="G26" r:id="rId1" xr:uid="{64A28378-66AD-45AB-9A1C-B6F7BD5D77A6}"/>
    <hyperlink ref="G56" r:id="rId2"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D2090D2A-295C-4B50-8EB5-2B8E3D432588}"/>
    <hyperlink ref="G57" r:id="rId3"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9D19751D-534E-4A2F-8DC5-1D16ECA83417}"/>
    <hyperlink ref="G94" r:id="rId4" xr:uid="{153B66C1-6081-405F-89C7-A0131EE7E3B6}"/>
    <hyperlink ref="G43" r:id="rId5" xr:uid="{19F13A0E-EE89-4286-973F-77EE73F545DE}"/>
    <hyperlink ref="G17" r:id="rId6" xr:uid="{B86030C8-A051-4E78-9BDD-BDCC18FAC318}"/>
    <hyperlink ref="G12" r:id="rId7" xr:uid="{06D51980-4D6B-437D-AFA6-065A38E5883F}"/>
    <hyperlink ref="G55" r:id="rId8" xr:uid="{9C2213E5-E534-467D-A005-007DC2B345D9}"/>
    <hyperlink ref="G70" r:id="rId9" xr:uid="{8321BEFC-669E-4718-92FA-763B6FF53080}"/>
    <hyperlink ref="G47" r:id="rId10" xr:uid="{3A5E6C52-A655-4E72-A672-E14A7AABBF8F}"/>
    <hyperlink ref="G13" r:id="rId11" xr:uid="{594E9625-0CFA-431A-B297-D2D046A4ABAA}"/>
    <hyperlink ref="G86" r:id="rId12" xr:uid="{74F96F3A-BFE2-4042-88C5-D37A736751BE}"/>
    <hyperlink ref="G21" r:id="rId13" xr:uid="{18CDFCA5-96F7-49B1-87C4-F97ADE0AE813}"/>
    <hyperlink ref="G41" r:id="rId14" display="Renewable Power Generation Costs in 2021 (irena.org)" xr:uid="{FF1CC3F2-4BB7-44B8-96FC-715EFBD2421E}"/>
    <hyperlink ref="G42" r:id="rId15" xr:uid="{F6CF2C4E-D2AE-4642-8A47-D9638333BE66}"/>
    <hyperlink ref="G97" location="'STE-R'!G178" display="'STE-R'!G178" xr:uid="{99F59377-1444-4BF1-831E-8609656D78B2}"/>
    <hyperlink ref="G98:G101" location="'STE-R'!G178" display="'STE-R'!G178" xr:uid="{4533771F-D569-45F9-80F3-F2DA588F20E7}"/>
  </hyperlinks>
  <pageMargins left="0.7" right="0.7" top="0.75" bottom="0.75" header="0.3" footer="0.3"/>
  <pageSetup orientation="portrait"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72D3-A61D-442E-8DDA-48AD7060DA36}">
  <sheetPr codeName="Sheet8">
    <tabColor theme="3"/>
    <pageSetUpPr autoPageBreaks="0"/>
  </sheetPr>
  <dimension ref="A1:CG415"/>
  <sheetViews>
    <sheetView topLeftCell="A7" zoomScale="60" zoomScaleNormal="60" workbookViewId="0">
      <selection activeCell="H34" sqref="H34"/>
    </sheetView>
  </sheetViews>
  <sheetFormatPr baseColWidth="10" defaultColWidth="8.83203125" defaultRowHeight="15"/>
  <cols>
    <col min="1" max="1" width="8.83203125" style="144"/>
    <col min="2" max="2" width="43.83203125" style="21" customWidth="1"/>
    <col min="3" max="3" width="27.5" style="21" customWidth="1"/>
    <col min="4" max="4" width="26.5" style="21" hidden="1" customWidth="1"/>
    <col min="5" max="5" width="19.1640625" style="21" customWidth="1"/>
    <col min="6" max="6" width="15.1640625" style="21" customWidth="1"/>
    <col min="7" max="7" width="11.83203125" style="21" customWidth="1"/>
    <col min="8" max="8" width="37" style="21" customWidth="1"/>
    <col min="9" max="9" width="27.83203125" style="21" customWidth="1"/>
    <col min="10" max="10" width="37.83203125" style="21" customWidth="1"/>
    <col min="11" max="85" width="8.83203125" style="144"/>
  </cols>
  <sheetData>
    <row r="1" spans="2:10" s="1" customFormat="1">
      <c r="B1" s="2"/>
      <c r="C1" s="2"/>
      <c r="D1" s="2"/>
      <c r="E1" s="2"/>
      <c r="F1" s="2"/>
      <c r="G1" s="2"/>
      <c r="H1" s="2"/>
      <c r="I1" s="2"/>
      <c r="J1" s="2"/>
    </row>
    <row r="2" spans="2:10" s="1" customFormat="1" ht="15" customHeight="1">
      <c r="B2" s="19" t="s">
        <v>371</v>
      </c>
      <c r="C2" s="19"/>
      <c r="D2" s="43"/>
      <c r="E2" s="43"/>
      <c r="F2" s="43"/>
      <c r="G2" s="2"/>
      <c r="H2" s="2"/>
      <c r="I2" s="2"/>
      <c r="J2" s="2"/>
    </row>
    <row r="3" spans="2:10" s="1" customFormat="1" ht="15" customHeight="1">
      <c r="B3" s="19" t="s">
        <v>494</v>
      </c>
      <c r="C3" s="19"/>
      <c r="D3" s="43"/>
      <c r="E3" s="2"/>
      <c r="F3" s="2"/>
      <c r="G3" s="2"/>
      <c r="H3" s="2"/>
      <c r="I3" s="2"/>
      <c r="J3" s="2"/>
    </row>
    <row r="4" spans="2:10" s="1" customFormat="1" ht="15" customHeight="1">
      <c r="B4" s="2"/>
      <c r="C4" s="2"/>
      <c r="D4" s="2"/>
      <c r="E4" s="2"/>
      <c r="F4" s="2"/>
      <c r="G4" s="2"/>
      <c r="H4" s="2"/>
      <c r="I4" s="2"/>
      <c r="J4" s="2"/>
    </row>
    <row r="5" spans="2:10" s="144" customFormat="1">
      <c r="B5" s="131"/>
      <c r="C5" s="131"/>
      <c r="D5" s="131"/>
      <c r="E5" s="131"/>
      <c r="F5" s="131"/>
      <c r="G5" s="131"/>
      <c r="H5" s="131"/>
      <c r="I5" s="131"/>
      <c r="J5" s="131"/>
    </row>
    <row r="6" spans="2:10" ht="14.25" customHeight="1">
      <c r="B6" s="13" t="s">
        <v>495</v>
      </c>
      <c r="C6" s="13"/>
      <c r="D6" s="35"/>
      <c r="E6" s="35"/>
      <c r="F6" s="35"/>
      <c r="G6" s="35"/>
      <c r="H6" s="35"/>
      <c r="I6" s="35"/>
      <c r="J6" s="35"/>
    </row>
    <row r="7" spans="2:10">
      <c r="B7" s="24" t="s">
        <v>47</v>
      </c>
      <c r="C7" s="24" t="s">
        <v>48</v>
      </c>
      <c r="D7" s="24" t="s">
        <v>496</v>
      </c>
      <c r="E7" s="24" t="s">
        <v>49</v>
      </c>
      <c r="F7" s="24" t="s">
        <v>28</v>
      </c>
      <c r="G7" s="24" t="s">
        <v>50</v>
      </c>
      <c r="H7" s="24" t="s">
        <v>29</v>
      </c>
      <c r="I7" s="24" t="s">
        <v>122</v>
      </c>
      <c r="J7" s="24" t="s">
        <v>123</v>
      </c>
    </row>
    <row r="8" spans="2:10" s="144" customFormat="1">
      <c r="B8" s="131"/>
      <c r="C8" s="131"/>
      <c r="D8" s="131"/>
      <c r="E8" s="131"/>
      <c r="F8" s="131"/>
      <c r="G8" s="131"/>
      <c r="H8" s="131"/>
      <c r="I8" s="131"/>
      <c r="J8" s="131"/>
    </row>
    <row r="9" spans="2:10" s="144" customFormat="1">
      <c r="B9" s="131" t="s">
        <v>124</v>
      </c>
      <c r="C9" s="50">
        <v>1.175</v>
      </c>
      <c r="D9" s="157">
        <v>1.1100000000000001</v>
      </c>
      <c r="E9" s="131" t="s">
        <v>125</v>
      </c>
      <c r="F9" s="131" t="s">
        <v>497</v>
      </c>
      <c r="G9" s="131">
        <v>2021</v>
      </c>
      <c r="H9" s="146" t="s">
        <v>498</v>
      </c>
      <c r="I9" s="131"/>
      <c r="J9" s="131"/>
    </row>
    <row r="10" spans="2:10" s="144" customFormat="1">
      <c r="B10" s="147" t="s">
        <v>499</v>
      </c>
      <c r="C10" s="200">
        <f>C9-C12</f>
        <v>1.149</v>
      </c>
      <c r="D10" s="157">
        <v>1.08</v>
      </c>
      <c r="E10" s="131" t="s">
        <v>125</v>
      </c>
      <c r="F10" s="131" t="s">
        <v>497</v>
      </c>
      <c r="G10" s="131">
        <v>2021</v>
      </c>
      <c r="H10" s="131" t="s">
        <v>129</v>
      </c>
      <c r="I10" s="131"/>
      <c r="J10" s="131"/>
    </row>
    <row r="11" spans="2:10" s="144" customFormat="1">
      <c r="B11" s="147" t="s">
        <v>24</v>
      </c>
      <c r="C11" s="148" t="s">
        <v>42</v>
      </c>
      <c r="D11" s="148" t="s">
        <v>42</v>
      </c>
      <c r="E11" s="131" t="s">
        <v>125</v>
      </c>
      <c r="F11" s="131" t="s">
        <v>497</v>
      </c>
      <c r="G11" s="131">
        <v>2021</v>
      </c>
      <c r="H11" s="131" t="s">
        <v>52</v>
      </c>
      <c r="I11" s="131"/>
      <c r="J11" s="131"/>
    </row>
    <row r="12" spans="2:10" s="144" customFormat="1">
      <c r="B12" s="147" t="s">
        <v>25</v>
      </c>
      <c r="C12" s="195">
        <v>2.5999999999999999E-2</v>
      </c>
      <c r="D12" s="157">
        <v>0.03</v>
      </c>
      <c r="E12" s="131" t="s">
        <v>125</v>
      </c>
      <c r="F12" s="131" t="s">
        <v>497</v>
      </c>
      <c r="G12" s="131">
        <v>2021</v>
      </c>
      <c r="H12" s="146" t="s">
        <v>498</v>
      </c>
      <c r="I12" s="131"/>
      <c r="J12" s="131" t="s">
        <v>500</v>
      </c>
    </row>
    <row r="13" spans="2:10" s="144" customFormat="1">
      <c r="B13" s="131" t="s">
        <v>131</v>
      </c>
      <c r="C13" s="157">
        <v>0.05</v>
      </c>
      <c r="D13" s="157">
        <v>0.04</v>
      </c>
      <c r="E13" s="131" t="s">
        <v>125</v>
      </c>
      <c r="F13" s="131" t="s">
        <v>497</v>
      </c>
      <c r="G13" s="131">
        <v>2021</v>
      </c>
      <c r="H13" s="131" t="s">
        <v>129</v>
      </c>
      <c r="I13" s="131"/>
      <c r="J13" s="131"/>
    </row>
    <row r="14" spans="2:10" s="144" customFormat="1">
      <c r="B14" s="131" t="s">
        <v>133</v>
      </c>
      <c r="C14" s="157">
        <v>0</v>
      </c>
      <c r="D14" s="157">
        <v>0</v>
      </c>
      <c r="E14" s="131" t="s">
        <v>501</v>
      </c>
      <c r="F14" s="131" t="s">
        <v>502</v>
      </c>
      <c r="G14" s="131">
        <v>2021</v>
      </c>
      <c r="H14" s="146" t="s">
        <v>503</v>
      </c>
      <c r="I14" s="131"/>
      <c r="J14" s="131"/>
    </row>
    <row r="15" spans="2:10" s="144" customFormat="1">
      <c r="B15" s="131" t="s">
        <v>136</v>
      </c>
      <c r="C15" s="148"/>
      <c r="D15" s="148" t="s">
        <v>42</v>
      </c>
      <c r="E15" s="131"/>
      <c r="F15" s="131"/>
      <c r="G15" s="131"/>
      <c r="H15" s="131"/>
      <c r="I15" s="131"/>
      <c r="J15" s="131"/>
    </row>
    <row r="16" spans="2:10" s="144" customFormat="1">
      <c r="B16" s="131"/>
      <c r="C16" s="131"/>
      <c r="D16" s="131"/>
      <c r="E16" s="131"/>
      <c r="F16" s="131"/>
      <c r="G16" s="131"/>
      <c r="H16" s="131"/>
      <c r="I16" s="131"/>
      <c r="J16" s="131"/>
    </row>
    <row r="17" spans="1:10">
      <c r="A17" s="161"/>
      <c r="B17" s="53" t="s">
        <v>138</v>
      </c>
      <c r="C17" s="53"/>
      <c r="D17" s="35"/>
      <c r="E17" s="35"/>
      <c r="F17" s="35"/>
      <c r="G17" s="35"/>
      <c r="H17" s="35"/>
      <c r="I17" s="35"/>
      <c r="J17" s="35"/>
    </row>
    <row r="18" spans="1:10">
      <c r="B18" s="24" t="s">
        <v>47</v>
      </c>
      <c r="C18" s="24" t="s">
        <v>48</v>
      </c>
      <c r="D18" s="24" t="s">
        <v>496</v>
      </c>
      <c r="E18" s="24" t="s">
        <v>49</v>
      </c>
      <c r="F18" s="24" t="s">
        <v>28</v>
      </c>
      <c r="G18" s="24" t="s">
        <v>50</v>
      </c>
      <c r="H18" s="24" t="s">
        <v>29</v>
      </c>
      <c r="I18" s="24" t="s">
        <v>122</v>
      </c>
      <c r="J18" s="24" t="s">
        <v>123</v>
      </c>
    </row>
    <row r="19" spans="1:10" s="144" customFormat="1">
      <c r="B19" s="131"/>
      <c r="C19" s="131"/>
      <c r="D19" s="131"/>
      <c r="E19" s="131"/>
      <c r="F19" s="131"/>
      <c r="G19" s="131"/>
      <c r="H19" s="131"/>
      <c r="I19" s="131"/>
      <c r="J19" s="131"/>
    </row>
    <row r="20" spans="1:10" s="144" customFormat="1">
      <c r="B20" s="131" t="s">
        <v>139</v>
      </c>
      <c r="C20" s="153">
        <f>SUM(C21:C22)</f>
        <v>103.12479746835442</v>
      </c>
      <c r="D20" s="149">
        <v>95.2</v>
      </c>
      <c r="E20" s="131" t="s">
        <v>145</v>
      </c>
      <c r="F20" s="131" t="s">
        <v>497</v>
      </c>
      <c r="G20" s="131">
        <v>2022</v>
      </c>
      <c r="H20" s="146"/>
      <c r="I20" s="131"/>
      <c r="J20" s="131"/>
    </row>
    <row r="21" spans="1:10" s="144" customFormat="1">
      <c r="B21" s="147" t="s">
        <v>12</v>
      </c>
      <c r="C21" s="201">
        <v>68.460999999999999</v>
      </c>
      <c r="D21" s="131">
        <v>64</v>
      </c>
      <c r="E21" s="131" t="s">
        <v>145</v>
      </c>
      <c r="F21" s="131" t="s">
        <v>497</v>
      </c>
      <c r="G21" s="131">
        <v>2022</v>
      </c>
      <c r="H21" s="146" t="s">
        <v>504</v>
      </c>
      <c r="I21" s="131"/>
      <c r="J21" s="131"/>
    </row>
    <row r="22" spans="1:10" s="144" customFormat="1">
      <c r="B22" s="147" t="s">
        <v>13</v>
      </c>
      <c r="C22" s="201">
        <f>(C21/(1-D27))*D27</f>
        <v>34.663797468354424</v>
      </c>
      <c r="D22" s="131">
        <v>32</v>
      </c>
      <c r="E22" s="131" t="s">
        <v>145</v>
      </c>
      <c r="F22" s="131" t="s">
        <v>497</v>
      </c>
      <c r="G22" s="131">
        <v>2022</v>
      </c>
      <c r="H22" s="131" t="s">
        <v>505</v>
      </c>
      <c r="I22" s="131"/>
      <c r="J22" s="131"/>
    </row>
    <row r="23" spans="1:10" s="144" customFormat="1">
      <c r="B23" s="131" t="s">
        <v>506</v>
      </c>
      <c r="C23" s="96">
        <v>0.47</v>
      </c>
      <c r="D23" s="150">
        <v>0.47</v>
      </c>
      <c r="E23" s="131"/>
      <c r="F23" s="131" t="s">
        <v>151</v>
      </c>
      <c r="G23" s="131" t="s">
        <v>52</v>
      </c>
      <c r="H23" s="146" t="s">
        <v>507</v>
      </c>
      <c r="I23" s="131" t="s">
        <v>508</v>
      </c>
      <c r="J23" s="131"/>
    </row>
    <row r="24" spans="1:10" s="144" customFormat="1">
      <c r="B24" s="131" t="s">
        <v>509</v>
      </c>
      <c r="C24" s="93">
        <v>0</v>
      </c>
      <c r="D24" s="131">
        <v>0</v>
      </c>
      <c r="E24" s="131"/>
      <c r="F24" s="131" t="s">
        <v>151</v>
      </c>
      <c r="G24" s="131"/>
      <c r="H24" s="146" t="s">
        <v>510</v>
      </c>
      <c r="I24" s="131" t="s">
        <v>508</v>
      </c>
      <c r="J24" s="131"/>
    </row>
    <row r="25" spans="1:10" s="144" customFormat="1">
      <c r="B25" s="131" t="s">
        <v>511</v>
      </c>
      <c r="C25" s="148" t="s">
        <v>42</v>
      </c>
      <c r="D25" s="148" t="s">
        <v>42</v>
      </c>
      <c r="E25" s="148"/>
      <c r="F25" s="131"/>
      <c r="G25" s="131"/>
      <c r="H25" s="131"/>
      <c r="I25" s="131"/>
      <c r="J25" s="131"/>
    </row>
    <row r="26" spans="1:10" s="144" customFormat="1">
      <c r="B26" s="131" t="s">
        <v>512</v>
      </c>
      <c r="C26" s="148" t="s">
        <v>42</v>
      </c>
      <c r="D26" s="148" t="s">
        <v>42</v>
      </c>
      <c r="E26" s="148"/>
      <c r="F26" s="131"/>
      <c r="G26" s="131"/>
      <c r="H26" s="131"/>
      <c r="I26" s="131"/>
      <c r="J26" s="131"/>
    </row>
    <row r="27" spans="1:10" s="144" customFormat="1">
      <c r="B27" s="131" t="s">
        <v>513</v>
      </c>
      <c r="C27" s="202">
        <f>C22/C20</f>
        <v>0.33613445378151258</v>
      </c>
      <c r="D27" s="151">
        <f>D22/D20</f>
        <v>0.33613445378151258</v>
      </c>
      <c r="E27" s="131"/>
      <c r="F27" s="131"/>
      <c r="G27" s="131"/>
      <c r="H27" s="131"/>
      <c r="I27" s="131"/>
      <c r="J27" s="131"/>
    </row>
    <row r="28" spans="1:10" s="144" customFormat="1">
      <c r="B28" s="131"/>
      <c r="C28" s="131"/>
      <c r="D28" s="131"/>
      <c r="E28" s="131"/>
      <c r="F28" s="131"/>
      <c r="G28" s="131"/>
      <c r="H28" s="131"/>
      <c r="I28" s="131"/>
      <c r="J28" s="131"/>
    </row>
    <row r="29" spans="1:10">
      <c r="A29" s="161"/>
      <c r="B29" s="53" t="s">
        <v>158</v>
      </c>
      <c r="C29" s="53"/>
      <c r="D29" s="35"/>
      <c r="E29" s="35"/>
      <c r="F29" s="35"/>
      <c r="G29" s="35"/>
      <c r="H29" s="35"/>
      <c r="I29" s="35"/>
      <c r="J29" s="35"/>
    </row>
    <row r="30" spans="1:10">
      <c r="B30" s="24" t="s">
        <v>47</v>
      </c>
      <c r="C30" s="24" t="s">
        <v>48</v>
      </c>
      <c r="D30" s="24" t="s">
        <v>496</v>
      </c>
      <c r="E30" s="24" t="s">
        <v>49</v>
      </c>
      <c r="F30" s="24" t="s">
        <v>28</v>
      </c>
      <c r="G30" s="24" t="s">
        <v>50</v>
      </c>
      <c r="H30" s="24" t="s">
        <v>29</v>
      </c>
      <c r="I30" s="24" t="s">
        <v>122</v>
      </c>
      <c r="J30" s="24" t="s">
        <v>123</v>
      </c>
    </row>
    <row r="31" spans="1:10" s="144" customFormat="1">
      <c r="B31" s="131" t="s">
        <v>159</v>
      </c>
      <c r="C31" s="131"/>
      <c r="D31" s="131"/>
      <c r="E31" s="131"/>
      <c r="F31" s="131"/>
      <c r="G31" s="131"/>
      <c r="H31" s="131"/>
      <c r="I31" s="131"/>
      <c r="J31" s="131"/>
    </row>
    <row r="32" spans="1:10" s="144" customFormat="1">
      <c r="B32" s="147" t="s">
        <v>514</v>
      </c>
      <c r="C32" s="201">
        <f>C34*C37+C35*C38</f>
        <v>10.856302521008406</v>
      </c>
      <c r="D32" s="153">
        <f>(D34*D37+D38*D35)</f>
        <v>11.023529411764706</v>
      </c>
      <c r="E32" s="192" t="s">
        <v>161</v>
      </c>
      <c r="F32" s="131" t="s">
        <v>52</v>
      </c>
      <c r="G32" s="131" t="s">
        <v>52</v>
      </c>
      <c r="H32" s="131" t="s">
        <v>52</v>
      </c>
      <c r="I32" s="131" t="s">
        <v>52</v>
      </c>
      <c r="J32" s="131" t="s">
        <v>515</v>
      </c>
    </row>
    <row r="33" spans="1:10" s="144" customFormat="1">
      <c r="B33" s="147"/>
      <c r="C33" s="147"/>
      <c r="D33" s="131"/>
      <c r="E33" s="192"/>
      <c r="F33" s="131"/>
      <c r="G33" s="131"/>
      <c r="H33" s="146"/>
      <c r="I33" s="131"/>
      <c r="J33" s="131"/>
    </row>
    <row r="34" spans="1:10" s="144" customFormat="1">
      <c r="B34" s="131" t="s">
        <v>517</v>
      </c>
      <c r="C34" s="93">
        <v>16.100000000000001</v>
      </c>
      <c r="D34" s="131">
        <v>16.100000000000001</v>
      </c>
      <c r="E34" s="192" t="s">
        <v>161</v>
      </c>
      <c r="F34" s="131" t="s">
        <v>497</v>
      </c>
      <c r="G34" s="131">
        <v>2021</v>
      </c>
      <c r="H34" s="146" t="s">
        <v>518</v>
      </c>
      <c r="I34" s="131"/>
      <c r="J34" s="131"/>
    </row>
    <row r="35" spans="1:10" s="144" customFormat="1">
      <c r="B35" s="131" t="s">
        <v>519</v>
      </c>
      <c r="C35" s="131">
        <v>0.5</v>
      </c>
      <c r="D35" s="131">
        <v>0.6</v>
      </c>
      <c r="E35" s="192" t="s">
        <v>161</v>
      </c>
      <c r="F35" s="131" t="s">
        <v>497</v>
      </c>
      <c r="G35" s="131">
        <v>2021</v>
      </c>
      <c r="H35" s="145" t="s">
        <v>520</v>
      </c>
      <c r="I35" s="131" t="s">
        <v>521</v>
      </c>
      <c r="J35" s="131"/>
    </row>
    <row r="36" spans="1:10" s="144" customFormat="1">
      <c r="B36" s="131" t="s">
        <v>167</v>
      </c>
      <c r="C36" s="131"/>
      <c r="D36" s="150"/>
      <c r="E36" s="131"/>
      <c r="F36" s="131"/>
      <c r="G36" s="131"/>
      <c r="H36" s="131"/>
      <c r="I36" s="131"/>
      <c r="J36" s="131"/>
    </row>
    <row r="37" spans="1:10" s="144" customFormat="1">
      <c r="B37" s="147" t="s">
        <v>517</v>
      </c>
      <c r="C37" s="154">
        <f>C21/C20</f>
        <v>0.66386554621848748</v>
      </c>
      <c r="D37" s="151">
        <f>D21/D20</f>
        <v>0.67226890756302515</v>
      </c>
      <c r="E37" s="131" t="s">
        <v>33</v>
      </c>
      <c r="F37" s="131" t="s">
        <v>52</v>
      </c>
      <c r="G37" s="131" t="s">
        <v>52</v>
      </c>
      <c r="H37" s="131" t="s">
        <v>52</v>
      </c>
      <c r="I37" s="131" t="s">
        <v>52</v>
      </c>
      <c r="J37" s="131"/>
    </row>
    <row r="38" spans="1:10" s="144" customFormat="1">
      <c r="B38" s="147" t="s">
        <v>519</v>
      </c>
      <c r="C38" s="154">
        <f>C22/C20</f>
        <v>0.33613445378151258</v>
      </c>
      <c r="D38" s="151">
        <f>D22/(D22+D21)</f>
        <v>0.33333333333333331</v>
      </c>
      <c r="E38" s="131" t="s">
        <v>33</v>
      </c>
      <c r="F38" s="131" t="s">
        <v>52</v>
      </c>
      <c r="G38" s="131" t="s">
        <v>52</v>
      </c>
      <c r="H38" s="131" t="s">
        <v>52</v>
      </c>
      <c r="I38" s="131" t="s">
        <v>52</v>
      </c>
      <c r="J38" s="131"/>
    </row>
    <row r="39" spans="1:10" s="144" customFormat="1">
      <c r="B39" s="131" t="s">
        <v>168</v>
      </c>
      <c r="C39" s="153">
        <f>(C40*C37+C38*C41)</f>
        <v>48.907563025210095</v>
      </c>
      <c r="D39" s="153">
        <f>(D40*D37+D38*D41)</f>
        <v>50.473389355742285</v>
      </c>
      <c r="E39" s="131" t="s">
        <v>169</v>
      </c>
      <c r="F39" s="131" t="s">
        <v>52</v>
      </c>
      <c r="G39" s="131" t="s">
        <v>52</v>
      </c>
      <c r="H39" s="131" t="s">
        <v>52</v>
      </c>
      <c r="I39" s="131" t="s">
        <v>52</v>
      </c>
      <c r="J39" s="131" t="s">
        <v>515</v>
      </c>
    </row>
    <row r="40" spans="1:10" s="144" customFormat="1" ht="15.75" customHeight="1">
      <c r="B40" s="147" t="s">
        <v>517</v>
      </c>
      <c r="C40" s="102">
        <v>72</v>
      </c>
      <c r="D40" s="131">
        <v>72.599999999999994</v>
      </c>
      <c r="E40" s="131" t="s">
        <v>169</v>
      </c>
      <c r="F40" s="131" t="s">
        <v>497</v>
      </c>
      <c r="G40" s="131">
        <v>2021</v>
      </c>
      <c r="H40" s="155" t="s">
        <v>522</v>
      </c>
      <c r="I40" s="131"/>
      <c r="J40" s="156" t="s">
        <v>523</v>
      </c>
    </row>
    <row r="41" spans="1:10" s="144" customFormat="1">
      <c r="B41" s="147" t="s">
        <v>519</v>
      </c>
      <c r="C41" s="147">
        <v>3.3</v>
      </c>
      <c r="D41" s="157">
        <v>5</v>
      </c>
      <c r="E41" s="131" t="s">
        <v>169</v>
      </c>
      <c r="F41" s="131" t="s">
        <v>185</v>
      </c>
      <c r="G41" s="131">
        <v>2018</v>
      </c>
      <c r="H41" s="145" t="s">
        <v>520</v>
      </c>
      <c r="I41" s="131" t="s">
        <v>521</v>
      </c>
      <c r="J41" s="131"/>
    </row>
    <row r="42" spans="1:10" s="144" customFormat="1">
      <c r="B42" s="131"/>
      <c r="C42" s="131"/>
      <c r="D42" s="131"/>
      <c r="E42" s="131"/>
      <c r="F42" s="131"/>
      <c r="G42" s="131"/>
      <c r="H42" s="131"/>
      <c r="I42" s="131"/>
      <c r="J42" s="131"/>
    </row>
    <row r="43" spans="1:10">
      <c r="A43" s="161"/>
      <c r="B43" s="53" t="s">
        <v>170</v>
      </c>
      <c r="C43" s="53"/>
      <c r="D43" s="35"/>
      <c r="E43" s="35"/>
      <c r="F43" s="35"/>
      <c r="G43" s="35"/>
      <c r="H43" s="35"/>
      <c r="I43" s="35"/>
      <c r="J43" s="35"/>
    </row>
    <row r="44" spans="1:10">
      <c r="B44" s="24" t="s">
        <v>47</v>
      </c>
      <c r="C44" s="24" t="s">
        <v>48</v>
      </c>
      <c r="D44" s="24" t="s">
        <v>496</v>
      </c>
      <c r="E44" s="24" t="s">
        <v>49</v>
      </c>
      <c r="F44" s="24" t="s">
        <v>28</v>
      </c>
      <c r="G44" s="24" t="s">
        <v>50</v>
      </c>
      <c r="H44" s="24" t="s">
        <v>29</v>
      </c>
      <c r="I44" s="24" t="s">
        <v>122</v>
      </c>
      <c r="J44" s="24" t="s">
        <v>123</v>
      </c>
    </row>
    <row r="45" spans="1:10" s="144" customFormat="1">
      <c r="B45" s="147"/>
      <c r="C45" s="20"/>
      <c r="D45" s="131"/>
      <c r="E45" s="131"/>
      <c r="F45" s="158"/>
      <c r="G45" s="158"/>
      <c r="H45" s="159"/>
      <c r="I45" s="158"/>
      <c r="J45" s="131"/>
    </row>
    <row r="46" spans="1:10" s="144" customFormat="1">
      <c r="B46" s="147" t="s">
        <v>528</v>
      </c>
      <c r="C46" s="193">
        <f>SUM(C47:C51)</f>
        <v>843223</v>
      </c>
      <c r="D46" s="131"/>
      <c r="E46" s="131" t="s">
        <v>529</v>
      </c>
      <c r="F46" s="131" t="s">
        <v>497</v>
      </c>
      <c r="G46" s="131">
        <v>2021</v>
      </c>
      <c r="H46" s="86" t="s">
        <v>530</v>
      </c>
      <c r="I46" s="158"/>
      <c r="J46" s="131"/>
    </row>
    <row r="47" spans="1:10" s="144" customFormat="1">
      <c r="B47" s="147" t="s">
        <v>39</v>
      </c>
      <c r="C47" s="203">
        <v>479678</v>
      </c>
      <c r="D47" s="131"/>
      <c r="E47" s="131" t="s">
        <v>529</v>
      </c>
      <c r="F47" s="131" t="s">
        <v>52</v>
      </c>
      <c r="G47" s="131" t="s">
        <v>52</v>
      </c>
      <c r="H47" s="131" t="s">
        <v>129</v>
      </c>
      <c r="I47" s="158"/>
      <c r="J47" s="131"/>
    </row>
    <row r="48" spans="1:10" s="144" customFormat="1">
      <c r="B48" s="147" t="s">
        <v>15</v>
      </c>
      <c r="C48" s="203">
        <v>37</v>
      </c>
      <c r="D48" s="131"/>
      <c r="E48" s="131" t="s">
        <v>529</v>
      </c>
      <c r="F48" s="131" t="s">
        <v>52</v>
      </c>
      <c r="G48" s="131" t="s">
        <v>52</v>
      </c>
      <c r="H48" s="131" t="s">
        <v>129</v>
      </c>
      <c r="I48" s="158"/>
      <c r="J48" s="131"/>
    </row>
    <row r="49" spans="2:10" s="144" customFormat="1">
      <c r="B49" s="147" t="s">
        <v>68</v>
      </c>
      <c r="C49" s="203">
        <v>81812</v>
      </c>
      <c r="D49" s="131"/>
      <c r="E49" s="131" t="s">
        <v>529</v>
      </c>
      <c r="F49" s="131" t="s">
        <v>52</v>
      </c>
      <c r="G49" s="131" t="s">
        <v>52</v>
      </c>
      <c r="H49" s="131" t="s">
        <v>129</v>
      </c>
      <c r="I49" s="158"/>
      <c r="J49" s="131"/>
    </row>
    <row r="50" spans="2:10" s="144" customFormat="1">
      <c r="B50" s="147" t="s">
        <v>1500</v>
      </c>
      <c r="C50" s="203">
        <v>280626</v>
      </c>
      <c r="D50" s="131"/>
      <c r="E50" s="131" t="s">
        <v>529</v>
      </c>
      <c r="F50" s="131" t="s">
        <v>52</v>
      </c>
      <c r="G50" s="131" t="s">
        <v>52</v>
      </c>
      <c r="H50" s="131" t="s">
        <v>129</v>
      </c>
      <c r="I50" s="158"/>
      <c r="J50" s="131"/>
    </row>
    <row r="51" spans="2:10" s="144" customFormat="1">
      <c r="B51" s="147" t="s">
        <v>32</v>
      </c>
      <c r="C51" s="203">
        <v>1070</v>
      </c>
      <c r="D51" s="131"/>
      <c r="E51" s="131" t="s">
        <v>529</v>
      </c>
      <c r="F51" s="131" t="s">
        <v>52</v>
      </c>
      <c r="G51" s="131" t="s">
        <v>52</v>
      </c>
      <c r="H51" s="131" t="s">
        <v>129</v>
      </c>
      <c r="I51" s="158"/>
      <c r="J51" s="131"/>
    </row>
    <row r="52" spans="2:10" s="144" customFormat="1">
      <c r="B52" s="131"/>
      <c r="C52" s="131"/>
      <c r="D52" s="131"/>
      <c r="E52" s="131"/>
      <c r="F52" s="131"/>
      <c r="G52" s="131"/>
      <c r="H52" s="131"/>
      <c r="I52" s="131"/>
      <c r="J52" s="131"/>
    </row>
    <row r="53" spans="2:10" s="144" customFormat="1">
      <c r="B53" s="147" t="s">
        <v>528</v>
      </c>
      <c r="C53" s="20"/>
      <c r="D53" s="131"/>
      <c r="E53" s="131"/>
      <c r="F53" s="131"/>
      <c r="G53" s="131"/>
      <c r="H53" s="131"/>
      <c r="I53" s="131"/>
      <c r="J53" s="131"/>
    </row>
    <row r="54" spans="2:10" s="144" customFormat="1">
      <c r="B54" s="147" t="s">
        <v>39</v>
      </c>
      <c r="C54" s="205">
        <f>C47/$C$46</f>
        <v>0.56886256660456369</v>
      </c>
      <c r="D54" s="131"/>
      <c r="E54" s="131" t="s">
        <v>33</v>
      </c>
      <c r="F54" s="131" t="s">
        <v>497</v>
      </c>
      <c r="G54" s="131"/>
      <c r="H54" s="164" t="s">
        <v>1501</v>
      </c>
      <c r="I54" s="131"/>
      <c r="J54" s="131"/>
    </row>
    <row r="55" spans="2:10" s="144" customFormat="1">
      <c r="B55" s="147" t="s">
        <v>535</v>
      </c>
      <c r="C55" s="205">
        <v>0.31</v>
      </c>
      <c r="D55" s="131"/>
      <c r="E55" s="131"/>
      <c r="F55" s="131" t="s">
        <v>497</v>
      </c>
      <c r="G55" s="131"/>
      <c r="H55" s="164" t="s">
        <v>1501</v>
      </c>
      <c r="I55" s="131"/>
      <c r="J55" s="131"/>
    </row>
    <row r="56" spans="2:10" s="144" customFormat="1">
      <c r="B56" s="147" t="s">
        <v>68</v>
      </c>
      <c r="C56" s="205">
        <f>C49/$C$46</f>
        <v>9.7022970198867908E-2</v>
      </c>
      <c r="D56" s="131"/>
      <c r="E56" s="131" t="s">
        <v>33</v>
      </c>
      <c r="F56" s="131" t="s">
        <v>497</v>
      </c>
      <c r="G56" s="131"/>
      <c r="H56" s="164" t="s">
        <v>1501</v>
      </c>
      <c r="I56" s="131"/>
      <c r="J56" s="131"/>
    </row>
    <row r="57" spans="2:10" s="144" customFormat="1">
      <c r="B57" s="147" t="s">
        <v>531</v>
      </c>
      <c r="C57" s="205">
        <v>0.02</v>
      </c>
      <c r="D57" s="131"/>
      <c r="E57" s="131" t="s">
        <v>33</v>
      </c>
      <c r="F57" s="131" t="s">
        <v>497</v>
      </c>
      <c r="G57" s="131"/>
      <c r="H57" s="164" t="s">
        <v>1501</v>
      </c>
      <c r="I57" s="131"/>
      <c r="J57" s="131"/>
    </row>
    <row r="58" spans="2:10" s="144" customFormat="1">
      <c r="B58" s="147"/>
      <c r="C58" s="20"/>
      <c r="D58" s="131"/>
      <c r="E58" s="131"/>
      <c r="F58" s="131"/>
      <c r="G58" s="131"/>
      <c r="H58" s="131"/>
      <c r="I58" s="131"/>
      <c r="J58" s="131"/>
    </row>
    <row r="59" spans="2:10" s="144" customFormat="1">
      <c r="B59" s="196" t="s">
        <v>532</v>
      </c>
      <c r="C59" s="131"/>
      <c r="D59" s="131"/>
      <c r="E59" s="131"/>
      <c r="F59" s="131" t="s">
        <v>185</v>
      </c>
      <c r="G59" s="131">
        <v>2022</v>
      </c>
      <c r="H59" s="163" t="s">
        <v>520</v>
      </c>
      <c r="I59" s="131"/>
      <c r="J59" s="131"/>
    </row>
    <row r="60" spans="2:10" s="144" customFormat="1">
      <c r="B60" s="147" t="s">
        <v>533</v>
      </c>
      <c r="C60" s="206">
        <v>0.48</v>
      </c>
      <c r="D60" s="131"/>
      <c r="E60" s="131" t="s">
        <v>33</v>
      </c>
      <c r="F60" s="131" t="s">
        <v>185</v>
      </c>
      <c r="G60" s="131">
        <v>2023</v>
      </c>
      <c r="H60" s="163" t="s">
        <v>520</v>
      </c>
      <c r="I60" s="131"/>
      <c r="J60" s="131"/>
    </row>
    <row r="61" spans="2:10" s="144" customFormat="1">
      <c r="B61" s="147" t="s">
        <v>534</v>
      </c>
      <c r="C61" s="206">
        <v>0.23</v>
      </c>
      <c r="D61" s="131"/>
      <c r="E61" s="131" t="s">
        <v>33</v>
      </c>
      <c r="F61" s="131" t="s">
        <v>185</v>
      </c>
      <c r="G61" s="131">
        <v>2024</v>
      </c>
      <c r="H61" s="163" t="s">
        <v>520</v>
      </c>
      <c r="I61" s="131"/>
      <c r="J61" s="131"/>
    </row>
    <row r="62" spans="2:10" s="144" customFormat="1">
      <c r="B62" s="147" t="s">
        <v>531</v>
      </c>
      <c r="C62" s="206">
        <v>0.2</v>
      </c>
      <c r="D62" s="131"/>
      <c r="E62" s="131" t="s">
        <v>33</v>
      </c>
      <c r="F62" s="131" t="s">
        <v>185</v>
      </c>
      <c r="G62" s="131">
        <v>2025</v>
      </c>
      <c r="H62" s="163" t="s">
        <v>520</v>
      </c>
      <c r="I62" s="131"/>
      <c r="J62" s="131"/>
    </row>
    <row r="63" spans="2:10" s="144" customFormat="1">
      <c r="B63" s="147" t="s">
        <v>535</v>
      </c>
      <c r="C63" s="206">
        <v>0.1</v>
      </c>
      <c r="D63" s="131"/>
      <c r="E63" s="131" t="s">
        <v>33</v>
      </c>
      <c r="F63" s="131" t="s">
        <v>185</v>
      </c>
      <c r="G63" s="131">
        <v>2026</v>
      </c>
      <c r="H63" s="163" t="s">
        <v>520</v>
      </c>
      <c r="I63" s="131"/>
      <c r="J63" s="131"/>
    </row>
    <row r="64" spans="2:10" s="144" customFormat="1">
      <c r="B64" s="147"/>
      <c r="C64" s="207"/>
      <c r="D64" s="131"/>
      <c r="E64" s="131"/>
      <c r="F64" s="131"/>
      <c r="G64" s="131"/>
      <c r="H64" s="131"/>
      <c r="I64" s="131"/>
      <c r="J64" s="131"/>
    </row>
    <row r="65" spans="1:85">
      <c r="B65" s="53" t="s">
        <v>196</v>
      </c>
      <c r="C65" s="53"/>
      <c r="D65" s="35"/>
      <c r="E65" s="35"/>
      <c r="F65" s="35"/>
      <c r="G65" s="35"/>
      <c r="H65" s="35"/>
      <c r="I65" s="35"/>
      <c r="J65" s="35"/>
    </row>
    <row r="66" spans="1:85">
      <c r="B66" s="24" t="s">
        <v>47</v>
      </c>
      <c r="C66" s="24" t="s">
        <v>48</v>
      </c>
      <c r="D66" s="24" t="s">
        <v>496</v>
      </c>
      <c r="E66" s="24" t="s">
        <v>49</v>
      </c>
      <c r="F66" s="24" t="s">
        <v>28</v>
      </c>
      <c r="G66" s="24" t="s">
        <v>50</v>
      </c>
      <c r="H66" s="24" t="s">
        <v>29</v>
      </c>
      <c r="I66" s="24" t="s">
        <v>122</v>
      </c>
      <c r="J66" s="24" t="s">
        <v>123</v>
      </c>
    </row>
    <row r="67" spans="1:85" s="144" customFormat="1">
      <c r="B67" s="131"/>
      <c r="C67" s="131"/>
      <c r="D67" s="131"/>
      <c r="E67" s="131"/>
      <c r="F67" s="131"/>
      <c r="G67" s="131"/>
      <c r="H67" s="131"/>
      <c r="I67" s="131"/>
      <c r="J67" s="131"/>
    </row>
    <row r="68" spans="1:85" s="144" customFormat="1">
      <c r="B68" s="131" t="s">
        <v>539</v>
      </c>
      <c r="C68" s="98">
        <f>C20</f>
        <v>103.12479746835442</v>
      </c>
      <c r="D68" s="131">
        <v>95.2</v>
      </c>
      <c r="E68" s="131" t="s">
        <v>198</v>
      </c>
      <c r="F68" s="131" t="s">
        <v>497</v>
      </c>
      <c r="G68" s="131">
        <v>2022</v>
      </c>
      <c r="H68" s="146" t="s">
        <v>34</v>
      </c>
      <c r="I68" s="131"/>
      <c r="J68" s="131" t="s">
        <v>540</v>
      </c>
    </row>
    <row r="69" spans="1:85" s="144" customFormat="1">
      <c r="B69" s="147" t="s">
        <v>541</v>
      </c>
      <c r="C69" s="198">
        <v>0.34</v>
      </c>
      <c r="D69" s="150">
        <v>0.34</v>
      </c>
      <c r="E69" s="131"/>
      <c r="F69" s="131" t="s">
        <v>497</v>
      </c>
      <c r="G69" s="131"/>
      <c r="H69" s="131" t="s">
        <v>129</v>
      </c>
      <c r="I69" s="131"/>
      <c r="J69" s="131"/>
    </row>
    <row r="70" spans="1:85" s="144" customFormat="1">
      <c r="B70" s="131" t="s">
        <v>542</v>
      </c>
      <c r="C70" s="93">
        <v>171</v>
      </c>
      <c r="D70" s="131">
        <v>171</v>
      </c>
      <c r="E70" s="131" t="s">
        <v>198</v>
      </c>
      <c r="F70" s="131" t="s">
        <v>497</v>
      </c>
      <c r="G70" s="131">
        <v>2021</v>
      </c>
      <c r="H70" s="131" t="s">
        <v>129</v>
      </c>
      <c r="I70" s="131"/>
      <c r="J70" s="131"/>
    </row>
    <row r="71" spans="1:85" s="144" customFormat="1">
      <c r="B71" s="147" t="s">
        <v>543</v>
      </c>
      <c r="C71" s="204">
        <f>91/C70</f>
        <v>0.53216374269005851</v>
      </c>
      <c r="D71" s="150">
        <v>0.49</v>
      </c>
      <c r="E71" s="131"/>
      <c r="F71" s="131" t="s">
        <v>497</v>
      </c>
      <c r="G71" s="131"/>
      <c r="H71" s="131" t="s">
        <v>129</v>
      </c>
      <c r="I71" s="131"/>
      <c r="J71" s="131"/>
    </row>
    <row r="72" spans="1:85" s="144" customFormat="1">
      <c r="B72" s="131" t="s">
        <v>544</v>
      </c>
      <c r="C72" s="93">
        <v>150</v>
      </c>
      <c r="D72" s="131">
        <v>150</v>
      </c>
      <c r="E72" s="131" t="s">
        <v>198</v>
      </c>
      <c r="F72" s="131" t="s">
        <v>185</v>
      </c>
      <c r="G72" s="131">
        <v>2021</v>
      </c>
      <c r="H72" s="145" t="s">
        <v>520</v>
      </c>
      <c r="I72" s="131" t="s">
        <v>545</v>
      </c>
      <c r="J72" s="131" t="s">
        <v>546</v>
      </c>
    </row>
    <row r="73" spans="1:85" s="144" customFormat="1">
      <c r="B73" s="147" t="s">
        <v>543</v>
      </c>
      <c r="C73" s="198">
        <v>0.54</v>
      </c>
      <c r="D73" s="150">
        <v>0.57999999999999996</v>
      </c>
      <c r="E73" s="131"/>
      <c r="F73" s="131" t="s">
        <v>185</v>
      </c>
      <c r="G73" s="131"/>
      <c r="H73" s="131" t="s">
        <v>129</v>
      </c>
      <c r="I73" s="131"/>
      <c r="J73" s="131"/>
    </row>
    <row r="74" spans="1:85" s="144" customFormat="1">
      <c r="B74" s="131"/>
      <c r="C74" s="131"/>
      <c r="D74" s="131"/>
      <c r="E74" s="131"/>
      <c r="F74" s="131"/>
      <c r="G74" s="131"/>
      <c r="H74" s="131"/>
      <c r="I74" s="131"/>
      <c r="J74" s="131"/>
    </row>
    <row r="75" spans="1:85" s="18" customFormat="1">
      <c r="A75" s="144"/>
      <c r="B75" s="53" t="s">
        <v>370</v>
      </c>
      <c r="C75" s="53"/>
      <c r="D75" s="35"/>
      <c r="E75" s="35"/>
      <c r="F75" s="35"/>
      <c r="G75" s="35"/>
      <c r="H75" s="35"/>
      <c r="I75" s="35"/>
      <c r="J75" s="35"/>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row>
    <row r="76" spans="1:85">
      <c r="B76" s="131"/>
      <c r="C76" s="131"/>
      <c r="D76" s="131"/>
      <c r="E76" s="131"/>
      <c r="F76" s="131"/>
      <c r="G76" s="131"/>
      <c r="H76" s="131"/>
      <c r="I76" s="131"/>
      <c r="J76" s="131"/>
    </row>
    <row r="77" spans="1:85">
      <c r="B77" s="131"/>
      <c r="C77" s="151"/>
      <c r="D77" s="131"/>
      <c r="E77" s="131"/>
      <c r="F77" s="131"/>
      <c r="G77" s="131"/>
      <c r="H77" s="131"/>
      <c r="I77" s="131"/>
      <c r="J77" s="131"/>
    </row>
    <row r="78" spans="1:85">
      <c r="B78" s="131"/>
      <c r="C78" s="131"/>
      <c r="D78" s="131"/>
      <c r="E78" s="131"/>
      <c r="F78" s="131"/>
      <c r="G78" s="131"/>
      <c r="H78" s="131"/>
      <c r="I78" s="131"/>
      <c r="J78" s="131"/>
    </row>
    <row r="79" spans="1:85">
      <c r="B79" s="131"/>
      <c r="C79" s="131"/>
      <c r="D79" s="131"/>
      <c r="E79" s="131"/>
      <c r="F79" s="131"/>
      <c r="G79" s="131"/>
      <c r="H79" s="131"/>
      <c r="I79" s="131"/>
      <c r="J79" s="131"/>
    </row>
    <row r="80" spans="1:85">
      <c r="B80" s="131"/>
      <c r="C80" s="131"/>
      <c r="D80" s="131"/>
      <c r="E80" s="131"/>
      <c r="F80" s="131"/>
      <c r="G80" s="131"/>
      <c r="H80" s="131"/>
      <c r="I80" s="131"/>
      <c r="J80" s="131"/>
    </row>
    <row r="81" spans="2:10">
      <c r="B81" s="131"/>
      <c r="C81" s="131"/>
      <c r="D81" s="131"/>
      <c r="E81" s="131"/>
      <c r="F81" s="131"/>
      <c r="G81" s="131"/>
      <c r="H81" s="131"/>
      <c r="I81" s="131"/>
      <c r="J81" s="131"/>
    </row>
    <row r="82" spans="2:10">
      <c r="B82" s="131"/>
      <c r="C82" s="131"/>
      <c r="D82" s="131"/>
      <c r="E82" s="131"/>
      <c r="F82" s="131"/>
      <c r="G82" s="131"/>
      <c r="H82" s="131"/>
      <c r="I82" s="131"/>
      <c r="J82" s="131"/>
    </row>
    <row r="83" spans="2:10">
      <c r="B83" s="131"/>
      <c r="C83" s="131"/>
      <c r="D83" s="131"/>
      <c r="E83" s="131"/>
      <c r="F83" s="131"/>
      <c r="G83" s="131"/>
      <c r="H83" s="131"/>
      <c r="I83" s="131"/>
      <c r="J83" s="131"/>
    </row>
    <row r="84" spans="2:10">
      <c r="B84" s="131"/>
      <c r="C84" s="131"/>
      <c r="D84" s="131"/>
      <c r="E84" s="131"/>
      <c r="F84" s="131"/>
      <c r="G84" s="131"/>
      <c r="H84" s="131"/>
      <c r="I84" s="131"/>
      <c r="J84" s="131"/>
    </row>
    <row r="85" spans="2:10">
      <c r="B85" s="131"/>
      <c r="C85" s="131"/>
      <c r="D85" s="131"/>
      <c r="E85" s="131"/>
      <c r="F85" s="131"/>
      <c r="G85" s="131"/>
      <c r="H85" s="131"/>
      <c r="I85" s="131"/>
      <c r="J85" s="131"/>
    </row>
    <row r="86" spans="2:10">
      <c r="B86" s="131"/>
      <c r="C86" s="131"/>
      <c r="D86" s="131"/>
      <c r="E86" s="131"/>
      <c r="F86" s="131"/>
      <c r="G86" s="131"/>
      <c r="H86" s="131"/>
      <c r="I86" s="131"/>
      <c r="J86" s="131"/>
    </row>
    <row r="87" spans="2:10">
      <c r="B87" s="131"/>
      <c r="C87" s="131"/>
      <c r="D87" s="131"/>
      <c r="E87" s="131"/>
      <c r="F87" s="131"/>
      <c r="G87" s="131"/>
      <c r="H87" s="131"/>
      <c r="I87" s="131"/>
      <c r="J87" s="131"/>
    </row>
    <row r="88" spans="2:10">
      <c r="B88" s="131"/>
      <c r="C88" s="131"/>
      <c r="D88" s="131"/>
      <c r="E88" s="131"/>
      <c r="F88" s="131"/>
      <c r="G88" s="131"/>
      <c r="H88" s="131"/>
      <c r="I88" s="131"/>
      <c r="J88" s="131"/>
    </row>
    <row r="89" spans="2:10">
      <c r="B89" s="131"/>
      <c r="C89" s="131"/>
      <c r="D89" s="131"/>
      <c r="E89" s="131"/>
      <c r="F89" s="131"/>
      <c r="G89" s="131"/>
      <c r="H89" s="131"/>
      <c r="I89" s="131"/>
      <c r="J89" s="131"/>
    </row>
    <row r="90" spans="2:10">
      <c r="B90" s="131"/>
      <c r="C90" s="131"/>
      <c r="D90" s="131"/>
      <c r="E90" s="131"/>
      <c r="F90" s="131"/>
      <c r="G90" s="131"/>
      <c r="H90" s="131"/>
      <c r="I90" s="131"/>
      <c r="J90" s="131"/>
    </row>
    <row r="91" spans="2:10">
      <c r="B91" s="131"/>
      <c r="C91" s="131"/>
      <c r="D91" s="131"/>
      <c r="E91" s="131"/>
      <c r="F91" s="131"/>
      <c r="G91" s="131"/>
      <c r="H91" s="131"/>
      <c r="I91" s="131"/>
      <c r="J91" s="131"/>
    </row>
    <row r="92" spans="2:10">
      <c r="B92" s="131"/>
      <c r="C92" s="131"/>
      <c r="D92" s="131"/>
      <c r="E92" s="131"/>
      <c r="F92" s="131"/>
      <c r="G92" s="131"/>
      <c r="H92" s="131"/>
      <c r="I92" s="131"/>
      <c r="J92" s="131"/>
    </row>
    <row r="93" spans="2:10">
      <c r="B93" s="131"/>
      <c r="C93" s="131"/>
      <c r="D93" s="131"/>
      <c r="E93" s="131"/>
      <c r="F93" s="131"/>
      <c r="G93" s="131"/>
      <c r="H93" s="131"/>
      <c r="I93" s="131"/>
      <c r="J93" s="131"/>
    </row>
    <row r="94" spans="2:10">
      <c r="B94" s="131"/>
      <c r="C94" s="131"/>
      <c r="D94" s="131"/>
      <c r="E94" s="131"/>
      <c r="F94" s="131"/>
      <c r="G94" s="131"/>
      <c r="H94" s="131"/>
      <c r="I94" s="131"/>
      <c r="J94" s="131"/>
    </row>
    <row r="95" spans="2:10">
      <c r="B95" s="131"/>
      <c r="C95" s="131"/>
      <c r="D95" s="131"/>
      <c r="E95" s="131"/>
      <c r="F95" s="131"/>
      <c r="G95" s="131"/>
      <c r="H95" s="131"/>
      <c r="I95" s="131"/>
      <c r="J95" s="131"/>
    </row>
    <row r="96" spans="2:10">
      <c r="B96" s="131"/>
      <c r="C96" s="131"/>
      <c r="D96" s="131"/>
      <c r="E96" s="131"/>
      <c r="F96" s="131"/>
      <c r="G96" s="131"/>
      <c r="H96" s="131"/>
      <c r="I96" s="131"/>
      <c r="J96" s="131"/>
    </row>
    <row r="97" spans="2:10">
      <c r="B97" s="131"/>
      <c r="C97" s="131"/>
      <c r="D97" s="131"/>
      <c r="E97" s="131"/>
      <c r="F97" s="131"/>
      <c r="G97" s="131"/>
      <c r="H97" s="131"/>
      <c r="I97" s="131"/>
      <c r="J97" s="131"/>
    </row>
    <row r="98" spans="2:10">
      <c r="B98" s="131"/>
      <c r="C98" s="131"/>
      <c r="D98" s="131"/>
      <c r="E98" s="131"/>
      <c r="F98" s="131"/>
      <c r="G98" s="131"/>
      <c r="H98" s="131"/>
      <c r="I98" s="131"/>
      <c r="J98" s="131"/>
    </row>
    <row r="99" spans="2:10">
      <c r="B99" s="131"/>
      <c r="C99" s="131"/>
      <c r="D99" s="131"/>
      <c r="E99" s="131"/>
      <c r="F99" s="131"/>
      <c r="G99" s="131"/>
      <c r="H99" s="131"/>
      <c r="I99" s="131"/>
      <c r="J99" s="131"/>
    </row>
    <row r="100" spans="2:10">
      <c r="B100" s="131"/>
      <c r="C100" s="131"/>
      <c r="D100" s="131"/>
      <c r="E100" s="131"/>
      <c r="F100" s="131"/>
      <c r="G100" s="131"/>
      <c r="H100" s="131"/>
      <c r="I100" s="131"/>
      <c r="J100" s="131"/>
    </row>
    <row r="101" spans="2:10">
      <c r="B101" s="131"/>
      <c r="C101" s="131"/>
      <c r="D101" s="131"/>
      <c r="E101" s="131"/>
      <c r="F101" s="131"/>
      <c r="G101" s="131"/>
      <c r="H101" s="131"/>
      <c r="I101" s="131"/>
      <c r="J101" s="131"/>
    </row>
    <row r="102" spans="2:10">
      <c r="B102" s="131"/>
      <c r="C102" s="131"/>
      <c r="D102" s="131"/>
      <c r="E102" s="131"/>
      <c r="F102" s="131"/>
      <c r="G102" s="131"/>
      <c r="H102" s="131"/>
      <c r="I102" s="131"/>
      <c r="J102" s="131"/>
    </row>
    <row r="103" spans="2:10">
      <c r="B103" s="131"/>
      <c r="C103" s="131"/>
      <c r="D103" s="131"/>
      <c r="E103" s="131"/>
      <c r="F103" s="131"/>
      <c r="G103" s="131"/>
      <c r="H103" s="131"/>
      <c r="I103" s="131"/>
      <c r="J103" s="131"/>
    </row>
    <row r="104" spans="2:10">
      <c r="B104" s="131"/>
      <c r="C104" s="131"/>
      <c r="D104" s="131"/>
      <c r="E104" s="131"/>
      <c r="F104" s="131"/>
      <c r="G104" s="131"/>
      <c r="H104" s="131"/>
      <c r="I104" s="131"/>
      <c r="J104" s="131"/>
    </row>
    <row r="105" spans="2:10">
      <c r="B105" s="131"/>
      <c r="C105" s="131"/>
      <c r="D105" s="131"/>
      <c r="E105" s="131"/>
      <c r="F105" s="131"/>
      <c r="G105" s="131"/>
      <c r="H105" s="131"/>
      <c r="I105" s="131"/>
      <c r="J105" s="131"/>
    </row>
    <row r="106" spans="2:10">
      <c r="B106" s="131"/>
      <c r="C106" s="131"/>
      <c r="D106" s="131"/>
      <c r="E106" s="131"/>
      <c r="F106" s="131"/>
      <c r="G106" s="131"/>
      <c r="H106" s="131"/>
      <c r="I106" s="131"/>
      <c r="J106" s="131"/>
    </row>
    <row r="107" spans="2:10">
      <c r="B107" s="131"/>
      <c r="C107" s="131"/>
      <c r="D107" s="131"/>
      <c r="E107" s="131"/>
      <c r="F107" s="131"/>
      <c r="G107" s="131"/>
      <c r="H107" s="131"/>
      <c r="I107" s="131"/>
      <c r="J107" s="131"/>
    </row>
    <row r="108" spans="2:10">
      <c r="B108" s="131"/>
      <c r="C108" s="131"/>
      <c r="D108" s="131"/>
      <c r="E108" s="131"/>
      <c r="F108" s="131"/>
      <c r="G108" s="131"/>
      <c r="H108" s="131"/>
      <c r="I108" s="131"/>
      <c r="J108" s="131"/>
    </row>
    <row r="109" spans="2:10">
      <c r="B109" s="131"/>
      <c r="C109" s="131"/>
      <c r="D109" s="131"/>
      <c r="E109" s="131"/>
      <c r="F109" s="131"/>
      <c r="G109" s="131"/>
      <c r="H109" s="131"/>
      <c r="I109" s="131"/>
      <c r="J109" s="131"/>
    </row>
    <row r="110" spans="2:10">
      <c r="B110" s="131"/>
      <c r="C110" s="131"/>
      <c r="D110" s="131"/>
      <c r="E110" s="131"/>
      <c r="F110" s="131"/>
      <c r="G110" s="131"/>
      <c r="H110" s="131"/>
      <c r="I110" s="131"/>
      <c r="J110" s="131"/>
    </row>
    <row r="111" spans="2:10">
      <c r="B111" s="131"/>
      <c r="C111" s="131"/>
      <c r="D111" s="131"/>
      <c r="E111" s="131"/>
      <c r="F111" s="131"/>
      <c r="G111" s="131"/>
      <c r="H111" s="131"/>
      <c r="I111" s="131"/>
      <c r="J111" s="131"/>
    </row>
    <row r="112" spans="2:10">
      <c r="B112" s="131"/>
      <c r="C112" s="131"/>
      <c r="D112" s="131"/>
      <c r="E112" s="131"/>
      <c r="F112" s="131"/>
      <c r="G112" s="131"/>
      <c r="H112" s="131"/>
      <c r="I112" s="131"/>
      <c r="J112" s="131"/>
    </row>
    <row r="113" spans="2:10">
      <c r="B113" s="131"/>
      <c r="C113" s="131"/>
      <c r="D113" s="131"/>
      <c r="E113" s="131"/>
      <c r="F113" s="131"/>
      <c r="G113" s="131"/>
      <c r="H113" s="131"/>
      <c r="I113" s="131"/>
      <c r="J113" s="131"/>
    </row>
    <row r="114" spans="2:10">
      <c r="B114" s="131"/>
      <c r="C114" s="131"/>
      <c r="D114" s="131"/>
      <c r="E114" s="131"/>
      <c r="F114" s="131"/>
      <c r="G114" s="131"/>
      <c r="H114" s="131"/>
      <c r="I114" s="131"/>
      <c r="J114" s="131"/>
    </row>
    <row r="115" spans="2:10">
      <c r="B115" s="131"/>
      <c r="C115" s="131"/>
      <c r="D115" s="131"/>
      <c r="E115" s="131"/>
      <c r="F115" s="131"/>
      <c r="G115" s="131"/>
      <c r="H115" s="131"/>
      <c r="I115" s="131"/>
      <c r="J115" s="131"/>
    </row>
    <row r="116" spans="2:10">
      <c r="B116" s="131"/>
      <c r="C116" s="131"/>
      <c r="D116" s="131"/>
      <c r="E116" s="131"/>
      <c r="F116" s="131"/>
      <c r="G116" s="131"/>
      <c r="H116" s="131"/>
      <c r="I116" s="131"/>
      <c r="J116" s="131"/>
    </row>
    <row r="117" spans="2:10">
      <c r="B117" s="131"/>
      <c r="C117" s="131"/>
      <c r="D117" s="131"/>
      <c r="E117" s="131"/>
      <c r="F117" s="131"/>
      <c r="G117" s="131"/>
      <c r="H117" s="131"/>
      <c r="I117" s="131"/>
      <c r="J117" s="131"/>
    </row>
    <row r="118" spans="2:10">
      <c r="B118" s="131"/>
      <c r="C118" s="131"/>
      <c r="D118" s="131"/>
      <c r="E118" s="131"/>
      <c r="F118" s="131"/>
      <c r="G118" s="131"/>
      <c r="H118" s="131"/>
      <c r="I118" s="131"/>
      <c r="J118" s="131"/>
    </row>
    <row r="119" spans="2:10">
      <c r="B119" s="131"/>
      <c r="C119" s="131"/>
      <c r="D119" s="131"/>
      <c r="E119" s="131"/>
      <c r="F119" s="131"/>
      <c r="G119" s="131"/>
      <c r="H119" s="131"/>
      <c r="I119" s="131"/>
      <c r="J119" s="131"/>
    </row>
    <row r="120" spans="2:10">
      <c r="B120" s="131"/>
      <c r="C120" s="131"/>
      <c r="D120" s="131"/>
      <c r="E120" s="131"/>
      <c r="F120" s="131"/>
      <c r="G120" s="131"/>
      <c r="H120" s="131"/>
      <c r="I120" s="131"/>
      <c r="J120" s="131"/>
    </row>
    <row r="121" spans="2:10">
      <c r="B121" s="131"/>
      <c r="C121" s="131"/>
      <c r="D121" s="131"/>
      <c r="E121" s="131"/>
      <c r="F121" s="131"/>
      <c r="G121" s="131"/>
      <c r="H121" s="131"/>
      <c r="I121" s="131"/>
      <c r="J121" s="131"/>
    </row>
    <row r="122" spans="2:10">
      <c r="B122" s="131"/>
      <c r="C122" s="131"/>
      <c r="D122" s="131"/>
      <c r="E122" s="131"/>
      <c r="F122" s="131"/>
      <c r="G122" s="131"/>
      <c r="H122" s="131"/>
      <c r="I122" s="131"/>
      <c r="J122" s="131"/>
    </row>
    <row r="123" spans="2:10">
      <c r="B123" s="131"/>
      <c r="C123" s="131"/>
      <c r="D123" s="131"/>
      <c r="E123" s="131"/>
      <c r="F123" s="131"/>
      <c r="G123" s="131"/>
      <c r="H123" s="131"/>
      <c r="I123" s="131"/>
      <c r="J123" s="131"/>
    </row>
    <row r="124" spans="2:10">
      <c r="B124" s="131"/>
      <c r="C124" s="131"/>
      <c r="D124" s="131"/>
      <c r="E124" s="131"/>
      <c r="F124" s="131"/>
      <c r="G124" s="131"/>
      <c r="H124" s="131"/>
      <c r="I124" s="131"/>
      <c r="J124" s="131"/>
    </row>
    <row r="125" spans="2:10">
      <c r="B125" s="131"/>
      <c r="C125" s="131"/>
      <c r="D125" s="131"/>
      <c r="E125" s="131"/>
      <c r="F125" s="131"/>
      <c r="G125" s="131"/>
      <c r="H125" s="131"/>
      <c r="I125" s="131"/>
      <c r="J125" s="131"/>
    </row>
    <row r="126" spans="2:10">
      <c r="B126" s="131"/>
      <c r="C126" s="131"/>
      <c r="D126" s="131"/>
      <c r="E126" s="131"/>
      <c r="F126" s="131"/>
      <c r="G126" s="131"/>
      <c r="H126" s="131"/>
      <c r="I126" s="131"/>
      <c r="J126" s="131"/>
    </row>
    <row r="127" spans="2:10">
      <c r="B127" s="131"/>
      <c r="C127" s="131"/>
      <c r="D127" s="131"/>
      <c r="E127" s="131"/>
      <c r="F127" s="131"/>
      <c r="G127" s="131"/>
      <c r="H127" s="131"/>
      <c r="I127" s="131"/>
      <c r="J127" s="131"/>
    </row>
    <row r="128" spans="2:10">
      <c r="B128" s="131"/>
      <c r="C128" s="131"/>
      <c r="D128" s="131"/>
      <c r="E128" s="131"/>
      <c r="F128" s="131"/>
      <c r="G128" s="131"/>
      <c r="H128" s="131"/>
      <c r="I128" s="131"/>
      <c r="J128" s="131"/>
    </row>
    <row r="129" spans="2:10">
      <c r="B129" s="131"/>
      <c r="C129" s="131"/>
      <c r="D129" s="131"/>
      <c r="E129" s="131"/>
      <c r="F129" s="131"/>
      <c r="G129" s="131"/>
      <c r="H129" s="131"/>
      <c r="I129" s="131"/>
      <c r="J129" s="131"/>
    </row>
    <row r="130" spans="2:10">
      <c r="B130" s="131"/>
      <c r="C130" s="131"/>
      <c r="D130" s="131"/>
      <c r="E130" s="131"/>
      <c r="F130" s="131"/>
      <c r="G130" s="131"/>
      <c r="H130" s="131"/>
      <c r="I130" s="131"/>
      <c r="J130" s="131"/>
    </row>
    <row r="131" spans="2:10">
      <c r="B131" s="131"/>
      <c r="C131" s="131"/>
      <c r="D131" s="131"/>
      <c r="E131" s="131"/>
      <c r="F131" s="131"/>
      <c r="G131" s="131"/>
      <c r="H131" s="131"/>
      <c r="I131" s="131"/>
      <c r="J131" s="131"/>
    </row>
    <row r="132" spans="2:10">
      <c r="B132" s="131"/>
      <c r="C132" s="131"/>
      <c r="D132" s="131"/>
      <c r="E132" s="131"/>
      <c r="F132" s="131"/>
      <c r="G132" s="131"/>
      <c r="H132" s="131"/>
      <c r="I132" s="131"/>
      <c r="J132" s="131"/>
    </row>
    <row r="133" spans="2:10">
      <c r="B133" s="131"/>
      <c r="C133" s="131"/>
      <c r="D133" s="131"/>
      <c r="E133" s="131"/>
      <c r="F133" s="131"/>
      <c r="G133" s="131"/>
      <c r="H133" s="131"/>
      <c r="I133" s="131"/>
      <c r="J133" s="131"/>
    </row>
    <row r="134" spans="2:10">
      <c r="B134" s="131"/>
      <c r="C134" s="131"/>
      <c r="D134" s="131"/>
      <c r="E134" s="131"/>
      <c r="F134" s="131"/>
      <c r="G134" s="131"/>
      <c r="H134" s="131"/>
      <c r="I134" s="131"/>
      <c r="J134" s="131"/>
    </row>
    <row r="135" spans="2:10">
      <c r="B135" s="131"/>
      <c r="C135" s="131"/>
      <c r="D135" s="131"/>
      <c r="E135" s="131"/>
      <c r="F135" s="131"/>
      <c r="G135" s="131"/>
      <c r="H135" s="131"/>
      <c r="I135" s="131"/>
      <c r="J135" s="131"/>
    </row>
    <row r="136" spans="2:10">
      <c r="B136" s="131"/>
      <c r="C136" s="131"/>
      <c r="D136" s="131"/>
      <c r="E136" s="131"/>
      <c r="F136" s="131"/>
      <c r="G136" s="131"/>
      <c r="H136" s="131"/>
      <c r="I136" s="131"/>
      <c r="J136" s="131"/>
    </row>
    <row r="137" spans="2:10">
      <c r="B137" s="131"/>
      <c r="C137" s="131"/>
      <c r="D137" s="131"/>
      <c r="E137" s="131"/>
      <c r="F137" s="131"/>
      <c r="G137" s="131"/>
      <c r="H137" s="131"/>
      <c r="I137" s="131"/>
      <c r="J137" s="131"/>
    </row>
    <row r="138" spans="2:10">
      <c r="B138" s="131"/>
      <c r="C138" s="131"/>
      <c r="D138" s="131"/>
      <c r="E138" s="131"/>
      <c r="F138" s="131"/>
      <c r="G138" s="131"/>
      <c r="H138" s="131"/>
      <c r="I138" s="131"/>
      <c r="J138" s="131"/>
    </row>
    <row r="139" spans="2:10">
      <c r="B139" s="131"/>
      <c r="C139" s="131"/>
      <c r="D139" s="131"/>
      <c r="E139" s="131"/>
      <c r="F139" s="131"/>
      <c r="G139" s="131"/>
      <c r="H139" s="131"/>
      <c r="I139" s="131"/>
      <c r="J139" s="131"/>
    </row>
    <row r="140" spans="2:10">
      <c r="B140" s="131"/>
      <c r="C140" s="131"/>
      <c r="D140" s="131"/>
      <c r="E140" s="131"/>
      <c r="F140" s="131"/>
      <c r="G140" s="131"/>
      <c r="H140" s="131"/>
      <c r="I140" s="131"/>
      <c r="J140" s="131"/>
    </row>
    <row r="141" spans="2:10">
      <c r="B141" s="131"/>
      <c r="C141" s="131"/>
      <c r="D141" s="131"/>
      <c r="E141" s="131"/>
      <c r="F141" s="131"/>
      <c r="G141" s="131"/>
      <c r="H141" s="131"/>
      <c r="I141" s="131"/>
      <c r="J141" s="131"/>
    </row>
    <row r="142" spans="2:10">
      <c r="B142" s="131"/>
      <c r="C142" s="131"/>
      <c r="D142" s="131"/>
      <c r="E142" s="131"/>
      <c r="F142" s="131"/>
      <c r="G142" s="131"/>
      <c r="H142" s="131"/>
      <c r="I142" s="131"/>
      <c r="J142" s="131"/>
    </row>
    <row r="143" spans="2:10">
      <c r="B143" s="131"/>
      <c r="C143" s="131"/>
      <c r="D143" s="131"/>
      <c r="E143" s="131"/>
      <c r="F143" s="131"/>
      <c r="G143" s="131"/>
      <c r="H143" s="131"/>
      <c r="I143" s="131"/>
      <c r="J143" s="131"/>
    </row>
    <row r="144" spans="2:10">
      <c r="B144" s="131"/>
      <c r="C144" s="131"/>
      <c r="D144" s="131"/>
      <c r="E144" s="131"/>
      <c r="F144" s="131"/>
      <c r="G144" s="131"/>
      <c r="H144" s="131"/>
      <c r="I144" s="131"/>
      <c r="J144" s="131"/>
    </row>
    <row r="145" spans="2:10">
      <c r="B145" s="131"/>
      <c r="C145" s="131"/>
      <c r="D145" s="131"/>
      <c r="E145" s="131"/>
      <c r="F145" s="131"/>
      <c r="G145" s="131"/>
      <c r="H145" s="131"/>
      <c r="I145" s="131"/>
      <c r="J145" s="131"/>
    </row>
    <row r="146" spans="2:10">
      <c r="B146" s="131"/>
      <c r="C146" s="131"/>
      <c r="D146" s="131"/>
      <c r="E146" s="131"/>
      <c r="F146" s="131"/>
      <c r="G146" s="131"/>
      <c r="H146" s="131"/>
      <c r="I146" s="131"/>
      <c r="J146" s="131"/>
    </row>
    <row r="147" spans="2:10">
      <c r="B147" s="131"/>
      <c r="C147" s="131"/>
      <c r="D147" s="131"/>
      <c r="E147" s="131"/>
      <c r="F147" s="131"/>
      <c r="G147" s="131"/>
      <c r="H147" s="131"/>
      <c r="I147" s="131"/>
      <c r="J147" s="131"/>
    </row>
    <row r="148" spans="2:10">
      <c r="B148" s="131"/>
      <c r="C148" s="131"/>
      <c r="D148" s="131"/>
      <c r="E148" s="131"/>
      <c r="F148" s="131"/>
      <c r="G148" s="131"/>
      <c r="H148" s="131"/>
      <c r="I148" s="131"/>
      <c r="J148" s="131"/>
    </row>
    <row r="149" spans="2:10">
      <c r="B149" s="131"/>
      <c r="C149" s="131"/>
      <c r="D149" s="131"/>
      <c r="E149" s="131"/>
      <c r="F149" s="131"/>
      <c r="G149" s="131"/>
      <c r="H149" s="131"/>
      <c r="I149" s="131"/>
      <c r="J149" s="131"/>
    </row>
    <row r="150" spans="2:10">
      <c r="B150" s="131"/>
      <c r="C150" s="131"/>
      <c r="D150" s="131"/>
      <c r="E150" s="131"/>
      <c r="F150" s="131"/>
      <c r="G150" s="131"/>
      <c r="H150" s="131"/>
      <c r="I150" s="131"/>
      <c r="J150" s="131"/>
    </row>
    <row r="151" spans="2:10">
      <c r="B151" s="131"/>
      <c r="C151" s="131"/>
      <c r="D151" s="131"/>
      <c r="E151" s="131"/>
      <c r="F151" s="131"/>
      <c r="G151" s="131"/>
      <c r="H151" s="131"/>
      <c r="I151" s="131"/>
      <c r="J151" s="131"/>
    </row>
    <row r="152" spans="2:10">
      <c r="B152" s="131"/>
      <c r="C152" s="131"/>
      <c r="D152" s="131"/>
      <c r="E152" s="131"/>
      <c r="F152" s="131"/>
      <c r="G152" s="131"/>
      <c r="H152" s="131"/>
      <c r="I152" s="131"/>
      <c r="J152" s="131"/>
    </row>
    <row r="153" spans="2:10">
      <c r="B153" s="131"/>
      <c r="C153" s="131"/>
      <c r="D153" s="131"/>
      <c r="E153" s="131"/>
      <c r="F153" s="131"/>
      <c r="G153" s="131"/>
      <c r="H153" s="131"/>
      <c r="I153" s="131"/>
      <c r="J153" s="131"/>
    </row>
    <row r="154" spans="2:10">
      <c r="B154" s="131"/>
      <c r="C154" s="131"/>
      <c r="D154" s="131"/>
      <c r="E154" s="131"/>
      <c r="F154" s="131"/>
      <c r="G154" s="131"/>
      <c r="H154" s="131"/>
      <c r="I154" s="131"/>
      <c r="J154" s="131"/>
    </row>
    <row r="155" spans="2:10">
      <c r="B155" s="131"/>
      <c r="C155" s="131"/>
      <c r="D155" s="131"/>
      <c r="E155" s="131"/>
      <c r="F155" s="131"/>
      <c r="G155" s="131"/>
      <c r="H155" s="131"/>
      <c r="I155" s="131"/>
      <c r="J155" s="131"/>
    </row>
    <row r="156" spans="2:10">
      <c r="B156" s="131"/>
      <c r="C156" s="131"/>
      <c r="D156" s="131"/>
      <c r="E156" s="131"/>
      <c r="F156" s="131"/>
      <c r="G156" s="131"/>
      <c r="H156" s="131"/>
      <c r="I156" s="131"/>
      <c r="J156" s="131"/>
    </row>
    <row r="157" spans="2:10">
      <c r="B157" s="131"/>
      <c r="C157" s="131"/>
      <c r="D157" s="131"/>
      <c r="E157" s="131"/>
      <c r="F157" s="131"/>
      <c r="G157" s="131"/>
      <c r="H157" s="131"/>
      <c r="I157" s="131"/>
      <c r="J157" s="131"/>
    </row>
    <row r="158" spans="2:10">
      <c r="B158" s="131"/>
      <c r="C158" s="131"/>
      <c r="D158" s="131"/>
      <c r="E158" s="131"/>
      <c r="F158" s="131"/>
      <c r="G158" s="131"/>
      <c r="H158" s="131"/>
      <c r="I158" s="131"/>
      <c r="J158" s="131"/>
    </row>
    <row r="159" spans="2:10">
      <c r="B159" s="131"/>
      <c r="C159" s="131"/>
      <c r="D159" s="131"/>
      <c r="E159" s="131"/>
      <c r="F159" s="131"/>
      <c r="G159" s="131"/>
      <c r="H159" s="131"/>
      <c r="I159" s="131"/>
      <c r="J159" s="131"/>
    </row>
    <row r="160" spans="2:10">
      <c r="B160" s="131"/>
      <c r="C160" s="131"/>
      <c r="D160" s="131"/>
      <c r="E160" s="131"/>
      <c r="F160" s="131"/>
      <c r="G160" s="131"/>
      <c r="H160" s="131"/>
      <c r="I160" s="131"/>
      <c r="J160" s="131"/>
    </row>
    <row r="161" spans="2:10">
      <c r="B161" s="131"/>
      <c r="C161" s="131"/>
      <c r="D161" s="131"/>
      <c r="E161" s="131"/>
      <c r="F161" s="131"/>
      <c r="G161" s="131"/>
      <c r="H161" s="131"/>
      <c r="I161" s="131"/>
      <c r="J161" s="131"/>
    </row>
    <row r="162" spans="2:10">
      <c r="B162" s="131"/>
      <c r="C162" s="131"/>
      <c r="D162" s="131"/>
      <c r="E162" s="131"/>
      <c r="F162" s="131"/>
      <c r="G162" s="131"/>
      <c r="H162" s="131"/>
      <c r="I162" s="131"/>
      <c r="J162" s="131"/>
    </row>
    <row r="163" spans="2:10">
      <c r="B163" s="131"/>
      <c r="C163" s="131"/>
      <c r="D163" s="131"/>
      <c r="E163" s="131"/>
      <c r="F163" s="131"/>
      <c r="G163" s="131"/>
      <c r="H163" s="131"/>
      <c r="I163" s="131"/>
      <c r="J163" s="131"/>
    </row>
    <row r="164" spans="2:10">
      <c r="B164" s="131"/>
      <c r="C164" s="131"/>
      <c r="D164" s="131"/>
      <c r="E164" s="131"/>
      <c r="F164" s="131"/>
      <c r="G164" s="131"/>
      <c r="H164" s="131"/>
      <c r="I164" s="131"/>
      <c r="J164" s="131"/>
    </row>
    <row r="165" spans="2:10">
      <c r="B165" s="131"/>
      <c r="C165" s="131"/>
      <c r="D165" s="131"/>
      <c r="E165" s="131"/>
      <c r="F165" s="131"/>
      <c r="G165" s="131"/>
      <c r="H165" s="131"/>
      <c r="I165" s="131"/>
      <c r="J165" s="131"/>
    </row>
    <row r="166" spans="2:10">
      <c r="B166" s="131"/>
      <c r="C166" s="131"/>
      <c r="D166" s="131"/>
      <c r="E166" s="131"/>
      <c r="F166" s="131"/>
      <c r="G166" s="131"/>
      <c r="H166" s="131"/>
      <c r="I166" s="131"/>
      <c r="J166" s="131"/>
    </row>
    <row r="167" spans="2:10">
      <c r="B167" s="131"/>
      <c r="C167" s="131"/>
      <c r="D167" s="131"/>
      <c r="E167" s="131"/>
      <c r="F167" s="131"/>
      <c r="G167" s="131"/>
      <c r="H167" s="131"/>
      <c r="I167" s="131"/>
      <c r="J167" s="131"/>
    </row>
    <row r="168" spans="2:10">
      <c r="B168" s="131"/>
      <c r="C168" s="131"/>
      <c r="D168" s="131"/>
      <c r="E168" s="131"/>
      <c r="F168" s="131"/>
      <c r="G168" s="131"/>
      <c r="H168" s="131"/>
      <c r="I168" s="131"/>
      <c r="J168" s="131"/>
    </row>
    <row r="169" spans="2:10">
      <c r="B169" s="131"/>
      <c r="C169" s="131"/>
      <c r="D169" s="131"/>
      <c r="E169" s="131"/>
      <c r="F169" s="131"/>
      <c r="G169" s="131"/>
      <c r="H169" s="131"/>
      <c r="I169" s="131"/>
      <c r="J169" s="131"/>
    </row>
    <row r="170" spans="2:10">
      <c r="B170" s="131"/>
      <c r="C170" s="131"/>
      <c r="D170" s="131"/>
      <c r="E170" s="131"/>
      <c r="F170" s="131"/>
      <c r="G170" s="131"/>
      <c r="H170" s="131"/>
      <c r="I170" s="131"/>
      <c r="J170" s="131"/>
    </row>
    <row r="171" spans="2:10">
      <c r="B171" s="131"/>
      <c r="C171" s="131"/>
      <c r="D171" s="131"/>
      <c r="E171" s="131"/>
      <c r="F171" s="131"/>
      <c r="G171" s="131"/>
      <c r="H171" s="131"/>
      <c r="I171" s="131"/>
      <c r="J171" s="131"/>
    </row>
    <row r="172" spans="2:10">
      <c r="B172" s="131"/>
      <c r="C172" s="131"/>
      <c r="D172" s="131"/>
      <c r="E172" s="131"/>
      <c r="F172" s="131"/>
      <c r="G172" s="131"/>
      <c r="H172" s="131"/>
      <c r="I172" s="131"/>
      <c r="J172" s="131"/>
    </row>
    <row r="173" spans="2:10">
      <c r="B173" s="131"/>
      <c r="C173" s="131"/>
      <c r="D173" s="131"/>
      <c r="E173" s="131"/>
      <c r="F173" s="131"/>
      <c r="G173" s="131"/>
      <c r="H173" s="131"/>
      <c r="I173" s="131"/>
      <c r="J173" s="131"/>
    </row>
    <row r="174" spans="2:10">
      <c r="B174" s="131"/>
      <c r="C174" s="131"/>
      <c r="D174" s="131"/>
      <c r="E174" s="131"/>
      <c r="F174" s="131"/>
      <c r="G174" s="131"/>
      <c r="H174" s="131"/>
      <c r="I174" s="131"/>
      <c r="J174" s="131"/>
    </row>
    <row r="175" spans="2:10">
      <c r="B175" s="131"/>
      <c r="C175" s="131"/>
      <c r="D175" s="131"/>
      <c r="E175" s="131"/>
      <c r="F175" s="131"/>
      <c r="G175" s="131"/>
      <c r="H175" s="131"/>
      <c r="I175" s="131"/>
      <c r="J175" s="131"/>
    </row>
    <row r="176" spans="2:10">
      <c r="B176" s="131"/>
      <c r="C176" s="131"/>
      <c r="D176" s="131"/>
      <c r="E176" s="131"/>
      <c r="F176" s="131"/>
      <c r="G176" s="131"/>
      <c r="H176" s="131"/>
      <c r="I176" s="131"/>
      <c r="J176" s="131"/>
    </row>
    <row r="177" spans="2:10">
      <c r="B177" s="131"/>
      <c r="C177" s="131"/>
      <c r="D177" s="131"/>
      <c r="E177" s="131"/>
      <c r="F177" s="131"/>
      <c r="G177" s="131"/>
      <c r="H177" s="131"/>
      <c r="I177" s="131"/>
      <c r="J177" s="131"/>
    </row>
    <row r="178" spans="2:10">
      <c r="B178" s="131"/>
      <c r="C178" s="131"/>
      <c r="D178" s="131"/>
      <c r="E178" s="131"/>
      <c r="F178" s="131"/>
      <c r="G178" s="131"/>
      <c r="H178" s="131"/>
      <c r="I178" s="131"/>
      <c r="J178" s="131"/>
    </row>
    <row r="179" spans="2:10">
      <c r="B179" s="131"/>
      <c r="C179" s="131"/>
      <c r="D179" s="131"/>
      <c r="E179" s="131"/>
      <c r="F179" s="131"/>
      <c r="G179" s="131"/>
      <c r="H179" s="131"/>
      <c r="I179" s="131"/>
      <c r="J179" s="131"/>
    </row>
    <row r="180" spans="2:10">
      <c r="B180" s="131"/>
      <c r="C180" s="131"/>
      <c r="D180" s="131"/>
      <c r="E180" s="131"/>
      <c r="F180" s="131"/>
      <c r="G180" s="131"/>
      <c r="H180" s="131"/>
      <c r="I180" s="131"/>
      <c r="J180" s="131"/>
    </row>
    <row r="181" spans="2:10">
      <c r="B181" s="131"/>
      <c r="C181" s="131"/>
      <c r="D181" s="131"/>
      <c r="E181" s="131"/>
      <c r="F181" s="131"/>
      <c r="G181" s="131"/>
      <c r="H181" s="131"/>
      <c r="I181" s="131"/>
      <c r="J181" s="131"/>
    </row>
    <row r="182" spans="2:10">
      <c r="B182" s="131"/>
      <c r="C182" s="131"/>
      <c r="D182" s="131"/>
      <c r="E182" s="131"/>
      <c r="F182" s="131"/>
      <c r="G182" s="131"/>
      <c r="H182" s="131"/>
      <c r="I182" s="131"/>
      <c r="J182" s="131"/>
    </row>
    <row r="183" spans="2:10">
      <c r="B183" s="131"/>
      <c r="C183" s="131"/>
      <c r="D183" s="131"/>
      <c r="E183" s="131"/>
      <c r="F183" s="131"/>
      <c r="G183" s="131"/>
      <c r="H183" s="131"/>
      <c r="I183" s="131"/>
      <c r="J183" s="131"/>
    </row>
    <row r="184" spans="2:10">
      <c r="B184" s="131"/>
      <c r="C184" s="131"/>
      <c r="D184" s="131"/>
      <c r="E184" s="131"/>
      <c r="F184" s="131"/>
      <c r="G184" s="131"/>
      <c r="H184" s="131"/>
      <c r="I184" s="131"/>
      <c r="J184" s="131"/>
    </row>
    <row r="185" spans="2:10">
      <c r="B185" s="131"/>
      <c r="C185" s="131"/>
      <c r="D185" s="131"/>
      <c r="E185" s="131"/>
      <c r="F185" s="131"/>
      <c r="G185" s="131"/>
      <c r="H185" s="131"/>
      <c r="I185" s="131"/>
      <c r="J185" s="131"/>
    </row>
    <row r="186" spans="2:10">
      <c r="B186" s="131"/>
      <c r="C186" s="131"/>
      <c r="D186" s="131"/>
      <c r="E186" s="131"/>
      <c r="F186" s="131"/>
      <c r="G186" s="131"/>
      <c r="H186" s="131"/>
      <c r="I186" s="131"/>
      <c r="J186" s="131"/>
    </row>
    <row r="187" spans="2:10">
      <c r="B187" s="131"/>
      <c r="C187" s="131"/>
      <c r="D187" s="131"/>
      <c r="E187" s="131"/>
      <c r="F187" s="131"/>
      <c r="G187" s="131"/>
      <c r="H187" s="131"/>
      <c r="I187" s="131"/>
      <c r="J187" s="131"/>
    </row>
    <row r="188" spans="2:10">
      <c r="B188" s="131"/>
      <c r="C188" s="131"/>
      <c r="D188" s="131"/>
      <c r="E188" s="131"/>
      <c r="F188" s="131"/>
      <c r="G188" s="131"/>
      <c r="H188" s="131"/>
      <c r="I188" s="131"/>
      <c r="J188" s="131"/>
    </row>
    <row r="189" spans="2:10">
      <c r="B189" s="131"/>
      <c r="C189" s="131"/>
      <c r="D189" s="131"/>
      <c r="E189" s="131"/>
      <c r="F189" s="131"/>
      <c r="G189" s="131"/>
      <c r="H189" s="131"/>
      <c r="I189" s="131"/>
      <c r="J189" s="131"/>
    </row>
    <row r="190" spans="2:10">
      <c r="B190" s="131"/>
      <c r="C190" s="131"/>
      <c r="D190" s="131"/>
      <c r="E190" s="131"/>
      <c r="F190" s="131"/>
      <c r="G190" s="131"/>
      <c r="H190" s="131"/>
      <c r="I190" s="131"/>
      <c r="J190" s="131"/>
    </row>
    <row r="191" spans="2:10">
      <c r="B191" s="131"/>
      <c r="C191" s="131"/>
      <c r="D191" s="131"/>
      <c r="E191" s="131"/>
      <c r="F191" s="131"/>
      <c r="G191" s="131"/>
      <c r="H191" s="131"/>
      <c r="I191" s="131"/>
      <c r="J191" s="131"/>
    </row>
    <row r="192" spans="2:10">
      <c r="B192" s="131"/>
      <c r="C192" s="131"/>
      <c r="D192" s="131"/>
      <c r="E192" s="131"/>
      <c r="F192" s="131"/>
      <c r="G192" s="131"/>
      <c r="H192" s="131"/>
      <c r="I192" s="131"/>
      <c r="J192" s="131"/>
    </row>
    <row r="193" spans="2:10">
      <c r="B193" s="131"/>
      <c r="C193" s="131"/>
      <c r="D193" s="131"/>
      <c r="E193" s="131"/>
      <c r="F193" s="131"/>
      <c r="G193" s="131"/>
      <c r="H193" s="131"/>
      <c r="I193" s="131"/>
      <c r="J193" s="131"/>
    </row>
    <row r="194" spans="2:10">
      <c r="B194" s="131"/>
      <c r="C194" s="131"/>
      <c r="D194" s="131"/>
      <c r="E194" s="131"/>
      <c r="F194" s="131"/>
      <c r="G194" s="131"/>
      <c r="H194" s="131"/>
      <c r="I194" s="131"/>
      <c r="J194" s="131"/>
    </row>
    <row r="195" spans="2:10">
      <c r="B195" s="131"/>
      <c r="C195" s="131"/>
      <c r="D195" s="131"/>
      <c r="E195" s="131"/>
      <c r="F195" s="131"/>
      <c r="G195" s="131"/>
      <c r="H195" s="131"/>
      <c r="I195" s="131"/>
      <c r="J195" s="131"/>
    </row>
    <row r="196" spans="2:10">
      <c r="B196" s="131"/>
      <c r="C196" s="131"/>
      <c r="D196" s="131"/>
      <c r="E196" s="131"/>
      <c r="F196" s="131"/>
      <c r="G196" s="131"/>
      <c r="H196" s="131"/>
      <c r="I196" s="131"/>
      <c r="J196" s="131"/>
    </row>
    <row r="197" spans="2:10">
      <c r="B197" s="131"/>
      <c r="C197" s="131"/>
      <c r="D197" s="131"/>
      <c r="E197" s="131"/>
      <c r="F197" s="131"/>
      <c r="G197" s="131"/>
      <c r="H197" s="131"/>
      <c r="I197" s="131"/>
      <c r="J197" s="131"/>
    </row>
    <row r="198" spans="2:10">
      <c r="B198" s="131"/>
      <c r="C198" s="131"/>
      <c r="D198" s="131"/>
      <c r="E198" s="131"/>
      <c r="F198" s="131"/>
      <c r="G198" s="131"/>
      <c r="H198" s="131"/>
      <c r="I198" s="131"/>
      <c r="J198" s="131"/>
    </row>
    <row r="199" spans="2:10">
      <c r="B199" s="131"/>
      <c r="C199" s="131"/>
      <c r="D199" s="131"/>
      <c r="E199" s="131"/>
      <c r="F199" s="131"/>
      <c r="G199" s="131"/>
      <c r="H199" s="131"/>
      <c r="I199" s="131"/>
      <c r="J199" s="131"/>
    </row>
    <row r="200" spans="2:10">
      <c r="B200" s="131"/>
      <c r="C200" s="131"/>
      <c r="D200" s="131"/>
      <c r="E200" s="131"/>
      <c r="F200" s="131"/>
      <c r="G200" s="131"/>
      <c r="H200" s="131"/>
      <c r="I200" s="131"/>
      <c r="J200" s="131"/>
    </row>
    <row r="201" spans="2:10">
      <c r="B201" s="131"/>
      <c r="C201" s="131"/>
      <c r="D201" s="131"/>
      <c r="E201" s="131"/>
      <c r="F201" s="131"/>
      <c r="G201" s="131"/>
      <c r="H201" s="131"/>
      <c r="I201" s="131"/>
      <c r="J201" s="131"/>
    </row>
    <row r="202" spans="2:10">
      <c r="B202" s="131"/>
      <c r="C202" s="131"/>
      <c r="D202" s="131"/>
      <c r="E202" s="131"/>
      <c r="F202" s="131"/>
      <c r="G202" s="131"/>
      <c r="H202" s="131"/>
      <c r="I202" s="131"/>
      <c r="J202" s="131"/>
    </row>
    <row r="203" spans="2:10">
      <c r="B203" s="131"/>
      <c r="C203" s="131"/>
      <c r="D203" s="131"/>
      <c r="E203" s="131"/>
      <c r="F203" s="131"/>
      <c r="G203" s="131"/>
      <c r="H203" s="131"/>
      <c r="I203" s="131"/>
      <c r="J203" s="131"/>
    </row>
    <row r="204" spans="2:10">
      <c r="B204" s="131"/>
      <c r="C204" s="131"/>
      <c r="D204" s="131"/>
      <c r="E204" s="131"/>
      <c r="F204" s="131"/>
      <c r="G204" s="131"/>
      <c r="H204" s="131"/>
      <c r="I204" s="131"/>
      <c r="J204" s="131"/>
    </row>
    <row r="205" spans="2:10">
      <c r="B205" s="131"/>
      <c r="C205" s="131"/>
      <c r="D205" s="131"/>
      <c r="E205" s="131"/>
      <c r="F205" s="131"/>
      <c r="G205" s="131"/>
      <c r="H205" s="131"/>
      <c r="I205" s="131"/>
      <c r="J205" s="131"/>
    </row>
    <row r="206" spans="2:10">
      <c r="B206" s="131"/>
      <c r="C206" s="131"/>
      <c r="D206" s="131"/>
      <c r="E206" s="131"/>
      <c r="F206" s="131"/>
      <c r="G206" s="131"/>
      <c r="H206" s="131"/>
      <c r="I206" s="131"/>
      <c r="J206" s="131"/>
    </row>
    <row r="207" spans="2:10">
      <c r="B207" s="131"/>
      <c r="C207" s="131"/>
      <c r="D207" s="131"/>
      <c r="E207" s="131"/>
      <c r="F207" s="131"/>
      <c r="G207" s="131"/>
      <c r="H207" s="131"/>
      <c r="I207" s="131"/>
      <c r="J207" s="131"/>
    </row>
    <row r="208" spans="2:10">
      <c r="B208" s="131"/>
      <c r="C208" s="131"/>
      <c r="D208" s="131"/>
      <c r="E208" s="131"/>
      <c r="F208" s="131"/>
      <c r="G208" s="131"/>
      <c r="H208" s="131"/>
      <c r="I208" s="131"/>
      <c r="J208" s="131"/>
    </row>
    <row r="209" spans="2:10">
      <c r="B209" s="131"/>
      <c r="C209" s="131"/>
      <c r="D209" s="131"/>
      <c r="E209" s="131"/>
      <c r="F209" s="131"/>
      <c r="G209" s="131"/>
      <c r="H209" s="131"/>
      <c r="I209" s="131"/>
      <c r="J209" s="131"/>
    </row>
    <row r="210" spans="2:10">
      <c r="B210" s="131"/>
      <c r="C210" s="131"/>
      <c r="D210" s="131"/>
      <c r="E210" s="131"/>
      <c r="F210" s="131"/>
      <c r="G210" s="131"/>
      <c r="H210" s="131"/>
      <c r="I210" s="131"/>
      <c r="J210" s="131"/>
    </row>
    <row r="211" spans="2:10">
      <c r="B211" s="131"/>
      <c r="C211" s="131"/>
      <c r="D211" s="131"/>
      <c r="E211" s="131"/>
      <c r="F211" s="131"/>
      <c r="G211" s="131"/>
      <c r="H211" s="131"/>
      <c r="I211" s="131"/>
      <c r="J211" s="131"/>
    </row>
    <row r="212" spans="2:10">
      <c r="B212" s="131"/>
      <c r="C212" s="131"/>
      <c r="D212" s="131"/>
      <c r="E212" s="131"/>
      <c r="F212" s="131"/>
      <c r="G212" s="131"/>
      <c r="H212" s="131"/>
      <c r="I212" s="131"/>
      <c r="J212" s="131"/>
    </row>
    <row r="213" spans="2:10">
      <c r="B213" s="131"/>
      <c r="C213" s="131"/>
      <c r="D213" s="131"/>
      <c r="E213" s="131"/>
      <c r="F213" s="131"/>
      <c r="G213" s="131"/>
      <c r="H213" s="131"/>
      <c r="I213" s="131"/>
      <c r="J213" s="131"/>
    </row>
    <row r="214" spans="2:10">
      <c r="B214" s="131"/>
      <c r="C214" s="131"/>
      <c r="D214" s="131"/>
      <c r="E214" s="131"/>
      <c r="F214" s="131"/>
      <c r="G214" s="131"/>
      <c r="H214" s="131"/>
      <c r="I214" s="131"/>
      <c r="J214" s="131"/>
    </row>
    <row r="215" spans="2:10">
      <c r="B215" s="131"/>
      <c r="C215" s="131"/>
      <c r="D215" s="131"/>
      <c r="E215" s="131"/>
      <c r="F215" s="131"/>
      <c r="G215" s="131"/>
      <c r="H215" s="131"/>
      <c r="I215" s="131"/>
      <c r="J215" s="131"/>
    </row>
    <row r="216" spans="2:10">
      <c r="B216" s="131"/>
      <c r="C216" s="131"/>
      <c r="D216" s="131"/>
      <c r="E216" s="131"/>
      <c r="F216" s="131"/>
      <c r="G216" s="131"/>
      <c r="H216" s="131"/>
      <c r="I216" s="131"/>
      <c r="J216" s="131"/>
    </row>
    <row r="217" spans="2:10">
      <c r="B217" s="131"/>
      <c r="C217" s="131"/>
      <c r="D217" s="131"/>
      <c r="E217" s="131"/>
      <c r="F217" s="131"/>
      <c r="G217" s="131"/>
      <c r="H217" s="131"/>
      <c r="I217" s="131"/>
      <c r="J217" s="131"/>
    </row>
    <row r="218" spans="2:10">
      <c r="B218" s="131"/>
      <c r="C218" s="131"/>
      <c r="D218" s="131"/>
      <c r="E218" s="131"/>
      <c r="F218" s="131"/>
      <c r="G218" s="131"/>
      <c r="H218" s="131"/>
      <c r="I218" s="131"/>
      <c r="J218" s="131"/>
    </row>
    <row r="219" spans="2:10">
      <c r="B219" s="131"/>
      <c r="C219" s="131"/>
      <c r="D219" s="131"/>
      <c r="E219" s="131"/>
      <c r="F219" s="131"/>
      <c r="G219" s="131"/>
      <c r="H219" s="131"/>
      <c r="I219" s="131"/>
      <c r="J219" s="131"/>
    </row>
    <row r="220" spans="2:10">
      <c r="B220" s="131"/>
      <c r="C220" s="131"/>
      <c r="D220" s="131"/>
      <c r="E220" s="131"/>
      <c r="F220" s="131"/>
      <c r="G220" s="131"/>
      <c r="H220" s="131"/>
      <c r="I220" s="131"/>
      <c r="J220" s="131"/>
    </row>
    <row r="221" spans="2:10">
      <c r="B221" s="131"/>
      <c r="C221" s="131"/>
      <c r="D221" s="131"/>
      <c r="E221" s="131"/>
      <c r="F221" s="131"/>
      <c r="G221" s="131"/>
      <c r="H221" s="131"/>
      <c r="I221" s="131"/>
      <c r="J221" s="131"/>
    </row>
    <row r="222" spans="2:10">
      <c r="B222" s="131"/>
      <c r="C222" s="131"/>
      <c r="D222" s="131"/>
      <c r="E222" s="131"/>
      <c r="F222" s="131"/>
      <c r="G222" s="131"/>
      <c r="H222" s="131"/>
      <c r="I222" s="131"/>
      <c r="J222" s="131"/>
    </row>
    <row r="223" spans="2:10">
      <c r="B223" s="131"/>
      <c r="C223" s="131"/>
      <c r="D223" s="131"/>
      <c r="E223" s="131"/>
      <c r="F223" s="131"/>
      <c r="G223" s="131"/>
      <c r="H223" s="131"/>
      <c r="I223" s="131"/>
      <c r="J223" s="131"/>
    </row>
    <row r="224" spans="2:10">
      <c r="B224" s="131"/>
      <c r="C224" s="131"/>
      <c r="D224" s="131"/>
      <c r="E224" s="131"/>
      <c r="F224" s="131"/>
      <c r="G224" s="131"/>
      <c r="H224" s="131"/>
      <c r="I224" s="131"/>
      <c r="J224" s="131"/>
    </row>
    <row r="225" spans="2:10">
      <c r="B225" s="131"/>
      <c r="C225" s="131"/>
      <c r="D225" s="131"/>
      <c r="E225" s="131"/>
      <c r="F225" s="131"/>
      <c r="G225" s="131"/>
      <c r="H225" s="131"/>
      <c r="I225" s="131"/>
      <c r="J225" s="131"/>
    </row>
    <row r="226" spans="2:10">
      <c r="B226" s="131"/>
      <c r="C226" s="131"/>
      <c r="D226" s="131"/>
      <c r="E226" s="131"/>
      <c r="F226" s="131"/>
      <c r="G226" s="131"/>
      <c r="H226" s="131"/>
      <c r="I226" s="131"/>
      <c r="J226" s="131"/>
    </row>
    <row r="227" spans="2:10">
      <c r="B227" s="131"/>
      <c r="C227" s="131"/>
      <c r="D227" s="131"/>
      <c r="E227" s="131"/>
      <c r="F227" s="131"/>
      <c r="G227" s="131"/>
      <c r="H227" s="131"/>
      <c r="I227" s="131"/>
      <c r="J227" s="131"/>
    </row>
    <row r="228" spans="2:10">
      <c r="B228" s="131"/>
      <c r="C228" s="131"/>
      <c r="D228" s="131"/>
      <c r="E228" s="131"/>
      <c r="F228" s="131"/>
      <c r="G228" s="131"/>
      <c r="H228" s="131"/>
      <c r="I228" s="131"/>
      <c r="J228" s="131"/>
    </row>
    <row r="229" spans="2:10">
      <c r="B229" s="131"/>
      <c r="C229" s="131"/>
      <c r="D229" s="131"/>
      <c r="E229" s="131"/>
      <c r="F229" s="131"/>
      <c r="G229" s="131"/>
      <c r="H229" s="131"/>
      <c r="I229" s="131"/>
      <c r="J229" s="131"/>
    </row>
    <row r="230" spans="2:10">
      <c r="B230" s="131"/>
      <c r="C230" s="131"/>
      <c r="D230" s="131"/>
      <c r="E230" s="131"/>
      <c r="F230" s="131"/>
      <c r="G230" s="131"/>
      <c r="H230" s="131"/>
      <c r="I230" s="131"/>
      <c r="J230" s="131"/>
    </row>
    <row r="231" spans="2:10">
      <c r="B231" s="131"/>
      <c r="C231" s="131"/>
      <c r="D231" s="131"/>
      <c r="E231" s="131"/>
      <c r="F231" s="131"/>
      <c r="G231" s="131"/>
      <c r="H231" s="131"/>
      <c r="I231" s="131"/>
      <c r="J231" s="131"/>
    </row>
    <row r="232" spans="2:10">
      <c r="B232" s="131"/>
      <c r="C232" s="131"/>
      <c r="D232" s="131"/>
      <c r="E232" s="131"/>
      <c r="F232" s="131"/>
      <c r="G232" s="131"/>
      <c r="H232" s="131"/>
      <c r="I232" s="131"/>
      <c r="J232" s="131"/>
    </row>
    <row r="233" spans="2:10">
      <c r="B233" s="131"/>
      <c r="C233" s="131"/>
      <c r="D233" s="131"/>
      <c r="E233" s="131"/>
      <c r="F233" s="131"/>
      <c r="G233" s="131"/>
      <c r="H233" s="131"/>
      <c r="I233" s="131"/>
      <c r="J233" s="131"/>
    </row>
    <row r="234" spans="2:10">
      <c r="B234" s="131"/>
      <c r="C234" s="131"/>
      <c r="D234" s="131"/>
      <c r="E234" s="131"/>
      <c r="F234" s="131"/>
      <c r="G234" s="131"/>
      <c r="H234" s="131"/>
      <c r="I234" s="131"/>
      <c r="J234" s="131"/>
    </row>
    <row r="235" spans="2:10">
      <c r="B235" s="131"/>
      <c r="C235" s="131"/>
      <c r="D235" s="131"/>
      <c r="E235" s="131"/>
      <c r="F235" s="131"/>
      <c r="G235" s="131"/>
      <c r="H235" s="131"/>
      <c r="I235" s="131"/>
      <c r="J235" s="131"/>
    </row>
    <row r="236" spans="2:10">
      <c r="B236" s="131"/>
      <c r="C236" s="131"/>
      <c r="D236" s="131"/>
      <c r="E236" s="131"/>
      <c r="F236" s="131"/>
      <c r="G236" s="131"/>
      <c r="H236" s="131"/>
      <c r="I236" s="131"/>
      <c r="J236" s="131"/>
    </row>
    <row r="237" spans="2:10">
      <c r="B237" s="131"/>
      <c r="C237" s="131"/>
      <c r="D237" s="131"/>
      <c r="E237" s="131"/>
      <c r="F237" s="131"/>
      <c r="G237" s="131"/>
      <c r="H237" s="131"/>
      <c r="I237" s="131"/>
      <c r="J237" s="131"/>
    </row>
    <row r="238" spans="2:10">
      <c r="B238" s="131"/>
      <c r="C238" s="131"/>
      <c r="D238" s="131"/>
      <c r="E238" s="131"/>
      <c r="F238" s="131"/>
      <c r="G238" s="131"/>
      <c r="H238" s="131"/>
      <c r="I238" s="131"/>
      <c r="J238" s="131"/>
    </row>
    <row r="239" spans="2:10">
      <c r="B239" s="131"/>
      <c r="C239" s="131"/>
      <c r="D239" s="131"/>
      <c r="E239" s="131"/>
      <c r="F239" s="131"/>
      <c r="G239" s="131"/>
      <c r="H239" s="131"/>
      <c r="I239" s="131"/>
      <c r="J239" s="131"/>
    </row>
    <row r="240" spans="2:10">
      <c r="B240" s="131"/>
      <c r="C240" s="131"/>
      <c r="D240" s="131"/>
      <c r="E240" s="131"/>
      <c r="F240" s="131"/>
      <c r="G240" s="131"/>
      <c r="H240" s="131"/>
      <c r="I240" s="131"/>
      <c r="J240" s="131"/>
    </row>
    <row r="241" spans="2:10">
      <c r="B241" s="131"/>
      <c r="C241" s="131"/>
      <c r="D241" s="131"/>
      <c r="E241" s="131"/>
      <c r="F241" s="131"/>
      <c r="G241" s="131"/>
      <c r="H241" s="131"/>
      <c r="I241" s="131"/>
      <c r="J241" s="131"/>
    </row>
    <row r="242" spans="2:10">
      <c r="B242" s="131"/>
      <c r="C242" s="131"/>
      <c r="D242" s="131"/>
      <c r="E242" s="131"/>
      <c r="F242" s="131"/>
      <c r="G242" s="131"/>
      <c r="H242" s="131"/>
      <c r="I242" s="131"/>
      <c r="J242" s="131"/>
    </row>
    <row r="243" spans="2:10">
      <c r="B243" s="131"/>
      <c r="C243" s="131"/>
      <c r="D243" s="131"/>
      <c r="E243" s="131"/>
      <c r="F243" s="131"/>
      <c r="G243" s="131"/>
      <c r="H243" s="131"/>
      <c r="I243" s="131"/>
      <c r="J243" s="131"/>
    </row>
    <row r="244" spans="2:10">
      <c r="B244" s="131"/>
      <c r="C244" s="131"/>
      <c r="D244" s="131"/>
      <c r="E244" s="131"/>
      <c r="F244" s="131"/>
      <c r="G244" s="131"/>
      <c r="H244" s="131"/>
      <c r="I244" s="131"/>
      <c r="J244" s="131"/>
    </row>
    <row r="245" spans="2:10">
      <c r="B245" s="131"/>
      <c r="C245" s="131"/>
      <c r="D245" s="131"/>
      <c r="E245" s="131"/>
      <c r="F245" s="131"/>
      <c r="G245" s="131"/>
      <c r="H245" s="131"/>
      <c r="I245" s="131"/>
      <c r="J245" s="131"/>
    </row>
    <row r="246" spans="2:10">
      <c r="B246" s="131"/>
      <c r="C246" s="131"/>
      <c r="D246" s="131"/>
      <c r="E246" s="131"/>
      <c r="F246" s="131"/>
      <c r="G246" s="131"/>
      <c r="H246" s="131"/>
      <c r="I246" s="131"/>
      <c r="J246" s="131"/>
    </row>
    <row r="247" spans="2:10">
      <c r="B247" s="131"/>
      <c r="C247" s="131"/>
      <c r="D247" s="131"/>
      <c r="E247" s="131"/>
      <c r="F247" s="131"/>
      <c r="G247" s="131"/>
      <c r="H247" s="131"/>
      <c r="I247" s="131"/>
      <c r="J247" s="131"/>
    </row>
    <row r="248" spans="2:10">
      <c r="B248" s="131"/>
      <c r="C248" s="131"/>
      <c r="D248" s="131"/>
      <c r="E248" s="131"/>
      <c r="F248" s="131"/>
      <c r="G248" s="131"/>
      <c r="H248" s="131"/>
      <c r="I248" s="131"/>
      <c r="J248" s="131"/>
    </row>
    <row r="249" spans="2:10">
      <c r="B249" s="131"/>
      <c r="C249" s="131"/>
      <c r="D249" s="131"/>
      <c r="E249" s="131"/>
      <c r="F249" s="131"/>
      <c r="G249" s="131"/>
      <c r="H249" s="131"/>
      <c r="I249" s="131"/>
      <c r="J249" s="131"/>
    </row>
    <row r="250" spans="2:10">
      <c r="B250" s="131"/>
      <c r="C250" s="131"/>
      <c r="D250" s="131"/>
      <c r="E250" s="131"/>
      <c r="F250" s="131"/>
      <c r="G250" s="131"/>
      <c r="H250" s="131"/>
      <c r="I250" s="131"/>
      <c r="J250" s="131"/>
    </row>
    <row r="251" spans="2:10">
      <c r="B251" s="131"/>
      <c r="C251" s="131"/>
      <c r="D251" s="131"/>
      <c r="E251" s="131"/>
      <c r="F251" s="131"/>
      <c r="G251" s="131"/>
      <c r="H251" s="131"/>
      <c r="I251" s="131"/>
      <c r="J251" s="131"/>
    </row>
    <row r="252" spans="2:10">
      <c r="B252" s="131"/>
      <c r="C252" s="131"/>
      <c r="D252" s="131"/>
      <c r="E252" s="131"/>
      <c r="F252" s="131"/>
      <c r="G252" s="131"/>
      <c r="H252" s="131"/>
      <c r="I252" s="131"/>
      <c r="J252" s="131"/>
    </row>
    <row r="253" spans="2:10">
      <c r="B253" s="131"/>
      <c r="C253" s="131"/>
      <c r="D253" s="131"/>
      <c r="E253" s="131"/>
      <c r="F253" s="131"/>
      <c r="G253" s="131"/>
      <c r="H253" s="131"/>
      <c r="I253" s="131"/>
      <c r="J253" s="131"/>
    </row>
    <row r="254" spans="2:10">
      <c r="B254" s="131"/>
      <c r="C254" s="131"/>
      <c r="D254" s="131"/>
      <c r="E254" s="131"/>
      <c r="F254" s="131"/>
      <c r="G254" s="131"/>
      <c r="H254" s="131"/>
      <c r="I254" s="131"/>
      <c r="J254" s="131"/>
    </row>
    <row r="255" spans="2:10">
      <c r="B255" s="131"/>
      <c r="C255" s="131"/>
      <c r="D255" s="131"/>
      <c r="E255" s="131"/>
      <c r="F255" s="131"/>
      <c r="G255" s="131"/>
      <c r="H255" s="131"/>
      <c r="I255" s="131"/>
      <c r="J255" s="131"/>
    </row>
    <row r="256" spans="2:10">
      <c r="B256" s="131"/>
      <c r="C256" s="131"/>
      <c r="D256" s="131"/>
      <c r="E256" s="131"/>
      <c r="F256" s="131"/>
      <c r="G256" s="131"/>
      <c r="H256" s="131"/>
      <c r="I256" s="131"/>
      <c r="J256" s="131"/>
    </row>
    <row r="257" spans="2:10">
      <c r="B257" s="131"/>
      <c r="C257" s="131"/>
      <c r="D257" s="131"/>
      <c r="E257" s="131"/>
      <c r="F257" s="131"/>
      <c r="G257" s="131"/>
      <c r="H257" s="131"/>
      <c r="I257" s="131"/>
      <c r="J257" s="131"/>
    </row>
    <row r="258" spans="2:10">
      <c r="B258" s="131"/>
      <c r="C258" s="131"/>
      <c r="D258" s="131"/>
      <c r="E258" s="131"/>
      <c r="F258" s="131"/>
      <c r="G258" s="131"/>
      <c r="H258" s="131"/>
      <c r="I258" s="131"/>
      <c r="J258" s="131"/>
    </row>
    <row r="259" spans="2:10">
      <c r="B259" s="131"/>
      <c r="C259" s="131"/>
      <c r="D259" s="131"/>
      <c r="E259" s="131"/>
      <c r="F259" s="131"/>
      <c r="G259" s="131"/>
      <c r="H259" s="131"/>
      <c r="I259" s="131"/>
      <c r="J259" s="131"/>
    </row>
    <row r="260" spans="2:10">
      <c r="B260" s="131"/>
      <c r="C260" s="131"/>
      <c r="D260" s="131"/>
      <c r="E260" s="131"/>
      <c r="F260" s="131"/>
      <c r="G260" s="131"/>
      <c r="H260" s="131"/>
      <c r="I260" s="131"/>
      <c r="J260" s="131"/>
    </row>
    <row r="261" spans="2:10">
      <c r="B261" s="131"/>
      <c r="C261" s="131"/>
      <c r="D261" s="131"/>
      <c r="E261" s="131"/>
      <c r="F261" s="131"/>
      <c r="G261" s="131"/>
      <c r="H261" s="131"/>
      <c r="I261" s="131"/>
      <c r="J261" s="131"/>
    </row>
    <row r="262" spans="2:10">
      <c r="B262" s="131"/>
      <c r="C262" s="131"/>
      <c r="D262" s="131"/>
      <c r="E262" s="131"/>
      <c r="F262" s="131"/>
      <c r="G262" s="131"/>
      <c r="H262" s="131"/>
      <c r="I262" s="131"/>
      <c r="J262" s="131"/>
    </row>
    <row r="263" spans="2:10">
      <c r="B263" s="131"/>
      <c r="C263" s="131"/>
      <c r="D263" s="131"/>
      <c r="E263" s="131"/>
      <c r="F263" s="131"/>
      <c r="G263" s="131"/>
      <c r="H263" s="131"/>
      <c r="I263" s="131"/>
      <c r="J263" s="131"/>
    </row>
    <row r="264" spans="2:10">
      <c r="B264" s="131"/>
      <c r="C264" s="131"/>
      <c r="D264" s="131"/>
      <c r="E264" s="131"/>
      <c r="F264" s="131"/>
      <c r="G264" s="131"/>
      <c r="H264" s="131"/>
      <c r="I264" s="131"/>
      <c r="J264" s="131"/>
    </row>
    <row r="265" spans="2:10">
      <c r="B265" s="131"/>
      <c r="C265" s="131"/>
      <c r="D265" s="131"/>
      <c r="E265" s="131"/>
      <c r="F265" s="131"/>
      <c r="G265" s="131"/>
      <c r="H265" s="131"/>
      <c r="I265" s="131"/>
      <c r="J265" s="131"/>
    </row>
    <row r="266" spans="2:10">
      <c r="B266" s="131"/>
      <c r="C266" s="131"/>
      <c r="D266" s="131"/>
      <c r="E266" s="131"/>
      <c r="F266" s="131"/>
      <c r="G266" s="131"/>
      <c r="H266" s="131"/>
      <c r="I266" s="131"/>
      <c r="J266" s="131"/>
    </row>
    <row r="267" spans="2:10">
      <c r="B267" s="131"/>
      <c r="C267" s="131"/>
      <c r="D267" s="131"/>
      <c r="E267" s="131"/>
      <c r="F267" s="131"/>
      <c r="G267" s="131"/>
      <c r="H267" s="131"/>
      <c r="I267" s="131"/>
      <c r="J267" s="131"/>
    </row>
    <row r="268" spans="2:10">
      <c r="B268" s="131"/>
      <c r="C268" s="131"/>
      <c r="D268" s="131"/>
      <c r="E268" s="131"/>
      <c r="F268" s="131"/>
      <c r="G268" s="131"/>
      <c r="H268" s="131"/>
      <c r="I268" s="131"/>
      <c r="J268" s="131"/>
    </row>
    <row r="269" spans="2:10">
      <c r="B269" s="131"/>
      <c r="C269" s="131"/>
      <c r="D269" s="131"/>
      <c r="E269" s="131"/>
      <c r="F269" s="131"/>
      <c r="G269" s="131"/>
      <c r="H269" s="131"/>
      <c r="I269" s="131"/>
      <c r="J269" s="131"/>
    </row>
    <row r="270" spans="2:10">
      <c r="B270" s="131"/>
      <c r="C270" s="131"/>
      <c r="D270" s="131"/>
      <c r="E270" s="131"/>
      <c r="F270" s="131"/>
      <c r="G270" s="131"/>
      <c r="H270" s="131"/>
      <c r="I270" s="131"/>
      <c r="J270" s="131"/>
    </row>
    <row r="271" spans="2:10">
      <c r="B271" s="131"/>
      <c r="C271" s="131"/>
      <c r="D271" s="131"/>
      <c r="E271" s="131"/>
      <c r="F271" s="131"/>
      <c r="G271" s="131"/>
      <c r="H271" s="131"/>
      <c r="I271" s="131"/>
      <c r="J271" s="131"/>
    </row>
    <row r="272" spans="2:10">
      <c r="B272" s="131"/>
      <c r="C272" s="131"/>
      <c r="D272" s="131"/>
      <c r="E272" s="131"/>
      <c r="F272" s="131"/>
      <c r="G272" s="131"/>
      <c r="H272" s="131"/>
      <c r="I272" s="131"/>
      <c r="J272" s="131"/>
    </row>
    <row r="273" spans="2:10">
      <c r="B273" s="131"/>
      <c r="C273" s="131"/>
      <c r="D273" s="131"/>
      <c r="E273" s="131"/>
      <c r="F273" s="131"/>
      <c r="G273" s="131"/>
      <c r="H273" s="131"/>
      <c r="I273" s="131"/>
      <c r="J273" s="131"/>
    </row>
    <row r="274" spans="2:10">
      <c r="B274" s="131"/>
      <c r="C274" s="131"/>
      <c r="D274" s="131"/>
      <c r="E274" s="131"/>
      <c r="F274" s="131"/>
      <c r="G274" s="131"/>
      <c r="H274" s="131"/>
      <c r="I274" s="131"/>
      <c r="J274" s="131"/>
    </row>
    <row r="275" spans="2:10">
      <c r="B275" s="131"/>
      <c r="C275" s="131"/>
      <c r="D275" s="131"/>
      <c r="E275" s="131"/>
      <c r="F275" s="131"/>
      <c r="G275" s="131"/>
      <c r="H275" s="131"/>
      <c r="I275" s="131"/>
      <c r="J275" s="131"/>
    </row>
    <row r="276" spans="2:10">
      <c r="B276" s="131"/>
      <c r="C276" s="131"/>
      <c r="D276" s="131"/>
      <c r="E276" s="131"/>
      <c r="F276" s="131"/>
      <c r="G276" s="131"/>
      <c r="H276" s="131"/>
      <c r="I276" s="131"/>
      <c r="J276" s="131"/>
    </row>
    <row r="277" spans="2:10">
      <c r="B277" s="131"/>
      <c r="C277" s="131"/>
      <c r="D277" s="131"/>
      <c r="E277" s="131"/>
      <c r="F277" s="131"/>
      <c r="G277" s="131"/>
      <c r="H277" s="131"/>
      <c r="I277" s="131"/>
      <c r="J277" s="131"/>
    </row>
    <row r="278" spans="2:10">
      <c r="B278" s="131"/>
      <c r="C278" s="131"/>
      <c r="D278" s="131"/>
      <c r="E278" s="131"/>
      <c r="F278" s="131"/>
      <c r="G278" s="131"/>
      <c r="H278" s="131"/>
      <c r="I278" s="131"/>
      <c r="J278" s="131"/>
    </row>
    <row r="279" spans="2:10">
      <c r="B279" s="131"/>
      <c r="C279" s="131"/>
      <c r="D279" s="131"/>
      <c r="E279" s="131"/>
      <c r="F279" s="131"/>
      <c r="G279" s="131"/>
      <c r="H279" s="131"/>
      <c r="I279" s="131"/>
      <c r="J279" s="131"/>
    </row>
    <row r="280" spans="2:10">
      <c r="B280" s="131"/>
      <c r="C280" s="131"/>
      <c r="D280" s="131"/>
      <c r="E280" s="131"/>
      <c r="F280" s="131"/>
      <c r="G280" s="131"/>
      <c r="H280" s="131"/>
      <c r="I280" s="131"/>
      <c r="J280" s="131"/>
    </row>
    <row r="281" spans="2:10">
      <c r="B281" s="131"/>
      <c r="C281" s="131"/>
      <c r="D281" s="131"/>
      <c r="E281" s="131"/>
      <c r="F281" s="131"/>
      <c r="G281" s="131"/>
      <c r="H281" s="131"/>
      <c r="I281" s="131"/>
      <c r="J281" s="131"/>
    </row>
    <row r="282" spans="2:10">
      <c r="B282" s="131"/>
      <c r="C282" s="131"/>
      <c r="D282" s="131"/>
      <c r="E282" s="131"/>
      <c r="F282" s="131"/>
      <c r="G282" s="131"/>
      <c r="H282" s="131"/>
      <c r="I282" s="131"/>
      <c r="J282" s="131"/>
    </row>
    <row r="283" spans="2:10">
      <c r="B283" s="131"/>
      <c r="C283" s="131"/>
      <c r="D283" s="131"/>
      <c r="E283" s="131"/>
      <c r="F283" s="131"/>
      <c r="G283" s="131"/>
      <c r="H283" s="131"/>
      <c r="I283" s="131"/>
      <c r="J283" s="131"/>
    </row>
    <row r="284" spans="2:10">
      <c r="B284" s="131"/>
      <c r="C284" s="131"/>
      <c r="D284" s="131"/>
      <c r="E284" s="131"/>
      <c r="F284" s="131"/>
      <c r="G284" s="131"/>
      <c r="H284" s="131"/>
      <c r="I284" s="131"/>
      <c r="J284" s="131"/>
    </row>
    <row r="285" spans="2:10">
      <c r="B285" s="131"/>
      <c r="C285" s="131"/>
      <c r="D285" s="131"/>
      <c r="E285" s="131"/>
      <c r="F285" s="131"/>
      <c r="G285" s="131"/>
      <c r="H285" s="131"/>
      <c r="I285" s="131"/>
      <c r="J285" s="131"/>
    </row>
    <row r="286" spans="2:10">
      <c r="B286" s="131"/>
      <c r="C286" s="131"/>
      <c r="D286" s="131"/>
      <c r="E286" s="131"/>
      <c r="F286" s="131"/>
      <c r="G286" s="131"/>
      <c r="H286" s="131"/>
      <c r="I286" s="131"/>
      <c r="J286" s="131"/>
    </row>
    <row r="287" spans="2:10">
      <c r="B287" s="131"/>
      <c r="C287" s="131"/>
      <c r="D287" s="131"/>
      <c r="E287" s="131"/>
      <c r="F287" s="131"/>
      <c r="G287" s="131"/>
      <c r="H287" s="131"/>
      <c r="I287" s="131"/>
      <c r="J287" s="131"/>
    </row>
    <row r="288" spans="2:10">
      <c r="B288" s="131"/>
      <c r="C288" s="131"/>
      <c r="D288" s="131"/>
      <c r="E288" s="131"/>
      <c r="F288" s="131"/>
      <c r="G288" s="131"/>
      <c r="H288" s="131"/>
      <c r="I288" s="131"/>
      <c r="J288" s="131"/>
    </row>
    <row r="289" spans="2:10">
      <c r="B289" s="131"/>
      <c r="C289" s="131"/>
      <c r="D289" s="131"/>
      <c r="E289" s="131"/>
      <c r="F289" s="131"/>
      <c r="G289" s="131"/>
      <c r="H289" s="131"/>
      <c r="I289" s="131"/>
      <c r="J289" s="131"/>
    </row>
    <row r="290" spans="2:10">
      <c r="B290" s="131"/>
      <c r="C290" s="131"/>
      <c r="D290" s="131"/>
      <c r="E290" s="131"/>
      <c r="F290" s="131"/>
      <c r="G290" s="131"/>
      <c r="H290" s="131"/>
      <c r="I290" s="131"/>
      <c r="J290" s="131"/>
    </row>
    <row r="291" spans="2:10">
      <c r="B291" s="131"/>
      <c r="C291" s="131"/>
      <c r="D291" s="131"/>
      <c r="E291" s="131"/>
      <c r="F291" s="131"/>
      <c r="G291" s="131"/>
      <c r="H291" s="131"/>
      <c r="I291" s="131"/>
      <c r="J291" s="131"/>
    </row>
    <row r="292" spans="2:10">
      <c r="B292" s="131"/>
      <c r="C292" s="131"/>
      <c r="D292" s="131"/>
      <c r="E292" s="131"/>
      <c r="F292" s="131"/>
      <c r="G292" s="131"/>
      <c r="H292" s="131"/>
      <c r="I292" s="131"/>
      <c r="J292" s="131"/>
    </row>
    <row r="293" spans="2:10">
      <c r="B293" s="131"/>
      <c r="C293" s="131"/>
      <c r="D293" s="131"/>
      <c r="E293" s="131"/>
      <c r="F293" s="131"/>
      <c r="G293" s="131"/>
      <c r="H293" s="131"/>
      <c r="I293" s="131"/>
      <c r="J293" s="131"/>
    </row>
    <row r="294" spans="2:10">
      <c r="B294" s="131"/>
      <c r="C294" s="131"/>
      <c r="D294" s="131"/>
      <c r="E294" s="131"/>
      <c r="F294" s="131"/>
      <c r="G294" s="131"/>
      <c r="H294" s="131"/>
      <c r="I294" s="131"/>
      <c r="J294" s="131"/>
    </row>
    <row r="295" spans="2:10">
      <c r="B295" s="131"/>
      <c r="C295" s="131"/>
      <c r="D295" s="131"/>
      <c r="E295" s="131"/>
      <c r="F295" s="131"/>
      <c r="G295" s="131"/>
      <c r="H295" s="131"/>
      <c r="I295" s="131"/>
      <c r="J295" s="131"/>
    </row>
    <row r="296" spans="2:10">
      <c r="B296" s="131"/>
      <c r="C296" s="131"/>
      <c r="D296" s="131"/>
      <c r="E296" s="131"/>
      <c r="F296" s="131"/>
      <c r="G296" s="131"/>
      <c r="H296" s="131"/>
      <c r="I296" s="131"/>
      <c r="J296" s="131"/>
    </row>
    <row r="297" spans="2:10">
      <c r="B297" s="131"/>
      <c r="C297" s="131"/>
      <c r="D297" s="131"/>
      <c r="E297" s="131"/>
      <c r="F297" s="131"/>
      <c r="G297" s="131"/>
      <c r="H297" s="131"/>
      <c r="I297" s="131"/>
      <c r="J297" s="131"/>
    </row>
    <row r="298" spans="2:10">
      <c r="B298" s="131"/>
      <c r="C298" s="131"/>
      <c r="D298" s="131"/>
      <c r="E298" s="131"/>
      <c r="F298" s="131"/>
      <c r="G298" s="131"/>
      <c r="H298" s="131"/>
      <c r="I298" s="131"/>
      <c r="J298" s="131"/>
    </row>
    <row r="299" spans="2:10">
      <c r="B299" s="131"/>
      <c r="C299" s="131"/>
      <c r="D299" s="131"/>
      <c r="E299" s="131"/>
      <c r="F299" s="131"/>
      <c r="G299" s="131"/>
      <c r="H299" s="131"/>
      <c r="I299" s="131"/>
      <c r="J299" s="131"/>
    </row>
    <row r="300" spans="2:10">
      <c r="B300" s="131"/>
      <c r="C300" s="131"/>
      <c r="D300" s="131"/>
      <c r="E300" s="131"/>
      <c r="F300" s="131"/>
      <c r="G300" s="131"/>
      <c r="H300" s="131"/>
      <c r="I300" s="131"/>
      <c r="J300" s="131"/>
    </row>
    <row r="301" spans="2:10">
      <c r="B301" s="131"/>
      <c r="C301" s="131"/>
      <c r="D301" s="131"/>
      <c r="E301" s="131"/>
      <c r="F301" s="131"/>
      <c r="G301" s="131"/>
      <c r="H301" s="131"/>
      <c r="I301" s="131"/>
      <c r="J301" s="131"/>
    </row>
    <row r="302" spans="2:10">
      <c r="B302" s="131"/>
      <c r="C302" s="131"/>
      <c r="D302" s="131"/>
      <c r="E302" s="131"/>
      <c r="F302" s="131"/>
      <c r="G302" s="131"/>
      <c r="H302" s="131"/>
      <c r="I302" s="131"/>
      <c r="J302" s="131"/>
    </row>
    <row r="303" spans="2:10">
      <c r="B303" s="131"/>
      <c r="C303" s="131"/>
      <c r="D303" s="131"/>
      <c r="E303" s="131"/>
      <c r="F303" s="131"/>
      <c r="G303" s="131"/>
      <c r="H303" s="131"/>
      <c r="I303" s="131"/>
      <c r="J303" s="131"/>
    </row>
    <row r="304" spans="2:10">
      <c r="B304" s="131"/>
      <c r="C304" s="131"/>
      <c r="D304" s="131"/>
      <c r="E304" s="131"/>
      <c r="F304" s="131"/>
      <c r="G304" s="131"/>
      <c r="H304" s="131"/>
      <c r="I304" s="131"/>
      <c r="J304" s="131"/>
    </row>
    <row r="305" spans="2:10">
      <c r="B305" s="131"/>
      <c r="C305" s="131"/>
      <c r="D305" s="131"/>
      <c r="E305" s="131"/>
      <c r="F305" s="131"/>
      <c r="G305" s="131"/>
      <c r="H305" s="131"/>
      <c r="I305" s="131"/>
      <c r="J305" s="131"/>
    </row>
    <row r="306" spans="2:10">
      <c r="B306" s="131"/>
      <c r="C306" s="131"/>
      <c r="D306" s="131"/>
      <c r="E306" s="131"/>
      <c r="F306" s="131"/>
      <c r="G306" s="131"/>
      <c r="H306" s="131"/>
      <c r="I306" s="131"/>
      <c r="J306" s="131"/>
    </row>
    <row r="307" spans="2:10">
      <c r="B307" s="131"/>
      <c r="C307" s="131"/>
      <c r="D307" s="131"/>
      <c r="E307" s="131"/>
      <c r="F307" s="131"/>
      <c r="G307" s="131"/>
      <c r="H307" s="131"/>
      <c r="I307" s="131"/>
      <c r="J307" s="131"/>
    </row>
    <row r="308" spans="2:10">
      <c r="B308" s="131"/>
      <c r="C308" s="131"/>
      <c r="D308" s="131"/>
      <c r="E308" s="131"/>
      <c r="F308" s="131"/>
      <c r="G308" s="131"/>
      <c r="H308" s="131"/>
      <c r="I308" s="131"/>
      <c r="J308" s="131"/>
    </row>
    <row r="309" spans="2:10">
      <c r="B309" s="131"/>
      <c r="C309" s="131"/>
      <c r="D309" s="131"/>
      <c r="E309" s="131"/>
      <c r="F309" s="131"/>
      <c r="G309" s="131"/>
      <c r="H309" s="131"/>
      <c r="I309" s="131"/>
      <c r="J309" s="131"/>
    </row>
    <row r="310" spans="2:10">
      <c r="B310" s="131"/>
      <c r="C310" s="131"/>
      <c r="D310" s="131"/>
      <c r="E310" s="131"/>
      <c r="F310" s="131"/>
      <c r="G310" s="131"/>
      <c r="H310" s="131"/>
      <c r="I310" s="131"/>
      <c r="J310" s="131"/>
    </row>
    <row r="311" spans="2:10">
      <c r="B311" s="131"/>
      <c r="C311" s="131"/>
      <c r="D311" s="131"/>
      <c r="E311" s="131"/>
      <c r="F311" s="131"/>
      <c r="G311" s="131"/>
      <c r="H311" s="131"/>
      <c r="I311" s="131"/>
      <c r="J311" s="131"/>
    </row>
    <row r="312" spans="2:10">
      <c r="B312" s="131"/>
      <c r="C312" s="131"/>
      <c r="D312" s="131"/>
      <c r="E312" s="131"/>
      <c r="F312" s="131"/>
      <c r="G312" s="131"/>
      <c r="H312" s="131"/>
      <c r="I312" s="131"/>
      <c r="J312" s="131"/>
    </row>
    <row r="313" spans="2:10">
      <c r="B313" s="131"/>
      <c r="C313" s="131"/>
      <c r="D313" s="131"/>
      <c r="E313" s="131"/>
      <c r="F313" s="131"/>
      <c r="G313" s="131"/>
      <c r="H313" s="131"/>
      <c r="I313" s="131"/>
      <c r="J313" s="131"/>
    </row>
    <row r="314" spans="2:10">
      <c r="B314" s="131"/>
      <c r="C314" s="131"/>
      <c r="D314" s="131"/>
      <c r="E314" s="131"/>
      <c r="F314" s="131"/>
      <c r="G314" s="131"/>
      <c r="H314" s="131"/>
      <c r="I314" s="131"/>
      <c r="J314" s="131"/>
    </row>
    <row r="315" spans="2:10">
      <c r="B315" s="131"/>
      <c r="C315" s="131"/>
      <c r="D315" s="131"/>
      <c r="E315" s="131"/>
      <c r="F315" s="131"/>
      <c r="G315" s="131"/>
      <c r="H315" s="131"/>
      <c r="I315" s="131"/>
      <c r="J315" s="131"/>
    </row>
    <row r="316" spans="2:10">
      <c r="B316" s="131"/>
      <c r="C316" s="131"/>
      <c r="D316" s="131"/>
      <c r="E316" s="131"/>
      <c r="F316" s="131"/>
      <c r="G316" s="131"/>
      <c r="H316" s="131"/>
      <c r="I316" s="131"/>
      <c r="J316" s="131"/>
    </row>
    <row r="317" spans="2:10">
      <c r="B317" s="131"/>
      <c r="C317" s="131"/>
      <c r="D317" s="131"/>
      <c r="E317" s="131"/>
      <c r="F317" s="131"/>
      <c r="G317" s="131"/>
      <c r="H317" s="131"/>
      <c r="I317" s="131"/>
      <c r="J317" s="131"/>
    </row>
    <row r="318" spans="2:10">
      <c r="B318" s="131"/>
      <c r="C318" s="131"/>
      <c r="D318" s="131"/>
      <c r="E318" s="131"/>
      <c r="F318" s="131"/>
      <c r="G318" s="131"/>
      <c r="H318" s="131"/>
      <c r="I318" s="131"/>
      <c r="J318" s="131"/>
    </row>
    <row r="319" spans="2:10">
      <c r="B319" s="131"/>
      <c r="C319" s="131"/>
      <c r="D319" s="131"/>
      <c r="E319" s="131"/>
      <c r="F319" s="131"/>
      <c r="G319" s="131"/>
      <c r="H319" s="131"/>
      <c r="I319" s="131"/>
      <c r="J319" s="131"/>
    </row>
    <row r="320" spans="2:10">
      <c r="B320" s="131"/>
      <c r="C320" s="131"/>
      <c r="D320" s="131"/>
      <c r="E320" s="131"/>
      <c r="F320" s="131"/>
      <c r="G320" s="131"/>
      <c r="H320" s="131"/>
      <c r="I320" s="131"/>
      <c r="J320" s="131"/>
    </row>
    <row r="321" spans="2:10">
      <c r="B321" s="131"/>
      <c r="C321" s="131"/>
      <c r="D321" s="131"/>
      <c r="E321" s="131"/>
      <c r="F321" s="131"/>
      <c r="G321" s="131"/>
      <c r="H321" s="131"/>
      <c r="I321" s="131"/>
      <c r="J321" s="131"/>
    </row>
    <row r="322" spans="2:10">
      <c r="B322" s="131"/>
      <c r="C322" s="131"/>
      <c r="D322" s="131"/>
      <c r="E322" s="131"/>
      <c r="F322" s="131"/>
      <c r="G322" s="131"/>
      <c r="H322" s="131"/>
      <c r="I322" s="131"/>
      <c r="J322" s="131"/>
    </row>
    <row r="323" spans="2:10">
      <c r="B323" s="131"/>
      <c r="C323" s="131"/>
      <c r="D323" s="131"/>
      <c r="E323" s="131"/>
      <c r="F323" s="131"/>
      <c r="G323" s="131"/>
      <c r="H323" s="131"/>
      <c r="I323" s="131"/>
      <c r="J323" s="131"/>
    </row>
    <row r="324" spans="2:10">
      <c r="B324" s="131"/>
      <c r="C324" s="131"/>
      <c r="D324" s="131"/>
      <c r="E324" s="131"/>
      <c r="F324" s="131"/>
      <c r="G324" s="131"/>
      <c r="H324" s="131"/>
      <c r="I324" s="131"/>
      <c r="J324" s="131"/>
    </row>
    <row r="325" spans="2:10">
      <c r="B325" s="131"/>
      <c r="C325" s="131"/>
      <c r="D325" s="131"/>
      <c r="E325" s="131"/>
      <c r="F325" s="131"/>
      <c r="G325" s="131"/>
      <c r="H325" s="131"/>
      <c r="I325" s="131"/>
      <c r="J325" s="131"/>
    </row>
    <row r="326" spans="2:10">
      <c r="B326" s="131"/>
      <c r="C326" s="131"/>
      <c r="D326" s="131"/>
      <c r="E326" s="131"/>
      <c r="F326" s="131"/>
      <c r="G326" s="131"/>
      <c r="H326" s="131"/>
      <c r="I326" s="131"/>
      <c r="J326" s="131"/>
    </row>
    <row r="327" spans="2:10">
      <c r="B327" s="131"/>
      <c r="C327" s="131"/>
      <c r="D327" s="131"/>
      <c r="E327" s="131"/>
      <c r="F327" s="131"/>
      <c r="G327" s="131"/>
      <c r="H327" s="131"/>
      <c r="I327" s="131"/>
      <c r="J327" s="131"/>
    </row>
    <row r="328" spans="2:10">
      <c r="B328" s="131"/>
      <c r="C328" s="131"/>
      <c r="D328" s="131"/>
      <c r="E328" s="131"/>
      <c r="F328" s="131"/>
      <c r="G328" s="131"/>
      <c r="H328" s="131"/>
      <c r="I328" s="131"/>
      <c r="J328" s="131"/>
    </row>
    <row r="329" spans="2:10">
      <c r="B329" s="131"/>
      <c r="C329" s="131"/>
      <c r="D329" s="131"/>
      <c r="E329" s="131"/>
      <c r="F329" s="131"/>
      <c r="G329" s="131"/>
      <c r="H329" s="131"/>
      <c r="I329" s="131"/>
      <c r="J329" s="131"/>
    </row>
    <row r="330" spans="2:10">
      <c r="B330" s="131"/>
      <c r="C330" s="131"/>
      <c r="D330" s="131"/>
      <c r="E330" s="131"/>
      <c r="F330" s="131"/>
      <c r="G330" s="131"/>
      <c r="H330" s="131"/>
      <c r="I330" s="131"/>
      <c r="J330" s="131"/>
    </row>
    <row r="331" spans="2:10">
      <c r="B331" s="131"/>
      <c r="C331" s="131"/>
      <c r="D331" s="131"/>
      <c r="E331" s="131"/>
      <c r="F331" s="131"/>
      <c r="G331" s="131"/>
      <c r="H331" s="131"/>
      <c r="I331" s="131"/>
      <c r="J331" s="131"/>
    </row>
    <row r="332" spans="2:10">
      <c r="B332" s="131"/>
      <c r="C332" s="131"/>
      <c r="D332" s="131"/>
      <c r="E332" s="131"/>
      <c r="F332" s="131"/>
      <c r="G332" s="131"/>
      <c r="H332" s="131"/>
      <c r="I332" s="131"/>
      <c r="J332" s="131"/>
    </row>
    <row r="333" spans="2:10">
      <c r="B333" s="131"/>
      <c r="C333" s="131"/>
      <c r="D333" s="131"/>
      <c r="E333" s="131"/>
      <c r="F333" s="131"/>
      <c r="G333" s="131"/>
      <c r="H333" s="131"/>
      <c r="I333" s="131"/>
      <c r="J333" s="131"/>
    </row>
    <row r="334" spans="2:10">
      <c r="B334" s="131"/>
      <c r="C334" s="131"/>
      <c r="D334" s="131"/>
      <c r="E334" s="131"/>
      <c r="F334" s="131"/>
      <c r="G334" s="131"/>
      <c r="H334" s="131"/>
      <c r="I334" s="131"/>
      <c r="J334" s="131"/>
    </row>
    <row r="335" spans="2:10">
      <c r="B335" s="131"/>
      <c r="C335" s="131"/>
      <c r="D335" s="131"/>
      <c r="E335" s="131"/>
      <c r="F335" s="131"/>
      <c r="G335" s="131"/>
      <c r="H335" s="131"/>
      <c r="I335" s="131"/>
      <c r="J335" s="131"/>
    </row>
    <row r="336" spans="2:10">
      <c r="B336" s="131"/>
      <c r="C336" s="131"/>
      <c r="D336" s="131"/>
      <c r="E336" s="131"/>
      <c r="F336" s="131"/>
      <c r="G336" s="131"/>
      <c r="H336" s="131"/>
      <c r="I336" s="131"/>
      <c r="J336" s="131"/>
    </row>
    <row r="337" spans="2:10">
      <c r="B337" s="131"/>
      <c r="C337" s="131"/>
      <c r="D337" s="131"/>
      <c r="E337" s="131"/>
      <c r="F337" s="131"/>
      <c r="G337" s="131"/>
      <c r="H337" s="131"/>
      <c r="I337" s="131"/>
      <c r="J337" s="131"/>
    </row>
    <row r="338" spans="2:10">
      <c r="B338" s="131"/>
      <c r="C338" s="131"/>
      <c r="D338" s="131"/>
      <c r="E338" s="131"/>
      <c r="F338" s="131"/>
      <c r="G338" s="131"/>
      <c r="H338" s="131"/>
      <c r="I338" s="131"/>
      <c r="J338" s="131"/>
    </row>
    <row r="339" spans="2:10">
      <c r="B339" s="131"/>
      <c r="C339" s="131"/>
      <c r="D339" s="131"/>
      <c r="E339" s="131"/>
      <c r="F339" s="131"/>
      <c r="G339" s="131"/>
      <c r="H339" s="131"/>
      <c r="I339" s="131"/>
      <c r="J339" s="131"/>
    </row>
    <row r="340" spans="2:10">
      <c r="B340" s="131"/>
      <c r="C340" s="131"/>
      <c r="D340" s="131"/>
      <c r="E340" s="131"/>
      <c r="F340" s="131"/>
      <c r="G340" s="131"/>
      <c r="H340" s="131"/>
      <c r="I340" s="131"/>
      <c r="J340" s="131"/>
    </row>
    <row r="341" spans="2:10">
      <c r="B341" s="131"/>
      <c r="C341" s="131"/>
      <c r="D341" s="131"/>
      <c r="E341" s="131"/>
      <c r="F341" s="131"/>
      <c r="G341" s="131"/>
      <c r="H341" s="131"/>
      <c r="I341" s="131"/>
      <c r="J341" s="131"/>
    </row>
    <row r="342" spans="2:10">
      <c r="B342" s="131"/>
      <c r="C342" s="131"/>
      <c r="D342" s="131"/>
      <c r="E342" s="131"/>
      <c r="F342" s="131"/>
      <c r="G342" s="131"/>
      <c r="H342" s="131"/>
      <c r="I342" s="131"/>
      <c r="J342" s="131"/>
    </row>
    <row r="343" spans="2:10">
      <c r="B343" s="131"/>
      <c r="C343" s="131"/>
      <c r="D343" s="131"/>
      <c r="E343" s="131"/>
      <c r="F343" s="131"/>
      <c r="G343" s="131"/>
      <c r="H343" s="131"/>
      <c r="I343" s="131"/>
      <c r="J343" s="131"/>
    </row>
    <row r="344" spans="2:10">
      <c r="B344" s="131"/>
      <c r="C344" s="131"/>
      <c r="D344" s="131"/>
      <c r="E344" s="131"/>
      <c r="F344" s="131"/>
      <c r="G344" s="131"/>
      <c r="H344" s="131"/>
      <c r="I344" s="131"/>
      <c r="J344" s="131"/>
    </row>
    <row r="345" spans="2:10">
      <c r="B345" s="131"/>
      <c r="C345" s="131"/>
      <c r="D345" s="131"/>
      <c r="E345" s="131"/>
      <c r="F345" s="131"/>
      <c r="G345" s="131"/>
      <c r="H345" s="131"/>
      <c r="I345" s="131"/>
      <c r="J345" s="131"/>
    </row>
    <row r="346" spans="2:10">
      <c r="B346" s="131"/>
      <c r="C346" s="131"/>
      <c r="D346" s="131"/>
      <c r="E346" s="131"/>
      <c r="F346" s="131"/>
      <c r="G346" s="131"/>
      <c r="H346" s="131"/>
      <c r="I346" s="131"/>
      <c r="J346" s="131"/>
    </row>
    <row r="347" spans="2:10">
      <c r="B347" s="131"/>
      <c r="C347" s="131"/>
      <c r="D347" s="131"/>
      <c r="E347" s="131"/>
      <c r="F347" s="131"/>
      <c r="G347" s="131"/>
      <c r="H347" s="131"/>
      <c r="I347" s="131"/>
      <c r="J347" s="131"/>
    </row>
    <row r="348" spans="2:10">
      <c r="B348" s="131"/>
      <c r="C348" s="131"/>
      <c r="D348" s="131"/>
      <c r="E348" s="131"/>
      <c r="F348" s="131"/>
      <c r="G348" s="131"/>
      <c r="H348" s="131"/>
      <c r="I348" s="131"/>
      <c r="J348" s="131"/>
    </row>
    <row r="349" spans="2:10">
      <c r="B349" s="131"/>
      <c r="C349" s="131"/>
      <c r="D349" s="131"/>
      <c r="E349" s="131"/>
      <c r="F349" s="131"/>
      <c r="G349" s="131"/>
      <c r="H349" s="131"/>
      <c r="I349" s="131"/>
      <c r="J349" s="131"/>
    </row>
    <row r="350" spans="2:10">
      <c r="B350" s="131"/>
      <c r="C350" s="131"/>
      <c r="D350" s="131"/>
      <c r="E350" s="131"/>
      <c r="F350" s="131"/>
      <c r="G350" s="131"/>
      <c r="H350" s="131"/>
      <c r="I350" s="131"/>
      <c r="J350" s="131"/>
    </row>
    <row r="351" spans="2:10">
      <c r="B351" s="131"/>
      <c r="C351" s="131"/>
      <c r="D351" s="131"/>
      <c r="E351" s="131"/>
      <c r="F351" s="131"/>
      <c r="G351" s="131"/>
      <c r="H351" s="131"/>
      <c r="I351" s="131"/>
      <c r="J351" s="131"/>
    </row>
    <row r="352" spans="2:10">
      <c r="B352" s="131"/>
      <c r="C352" s="131"/>
      <c r="D352" s="131"/>
      <c r="E352" s="131"/>
      <c r="F352" s="131"/>
      <c r="G352" s="131"/>
      <c r="H352" s="131"/>
      <c r="I352" s="131"/>
      <c r="J352" s="131"/>
    </row>
    <row r="353" spans="2:10">
      <c r="B353" s="131"/>
      <c r="C353" s="131"/>
      <c r="D353" s="131"/>
      <c r="E353" s="131"/>
      <c r="F353" s="131"/>
      <c r="G353" s="131"/>
      <c r="H353" s="131"/>
      <c r="I353" s="131"/>
      <c r="J353" s="131"/>
    </row>
    <row r="354" spans="2:10">
      <c r="B354" s="131"/>
      <c r="C354" s="131"/>
      <c r="D354" s="131"/>
      <c r="E354" s="131"/>
      <c r="F354" s="131"/>
      <c r="G354" s="131"/>
      <c r="H354" s="131"/>
      <c r="I354" s="131"/>
      <c r="J354" s="131"/>
    </row>
    <row r="355" spans="2:10">
      <c r="B355" s="131"/>
      <c r="C355" s="131"/>
      <c r="D355" s="131"/>
      <c r="E355" s="131"/>
      <c r="F355" s="131"/>
      <c r="G355" s="131"/>
      <c r="H355" s="131"/>
      <c r="I355" s="131"/>
      <c r="J355" s="131"/>
    </row>
    <row r="356" spans="2:10">
      <c r="B356" s="131"/>
      <c r="C356" s="131"/>
      <c r="D356" s="131"/>
      <c r="E356" s="131"/>
      <c r="F356" s="131"/>
      <c r="G356" s="131"/>
      <c r="H356" s="131"/>
      <c r="I356" s="131"/>
      <c r="J356" s="131"/>
    </row>
    <row r="357" spans="2:10">
      <c r="B357" s="131"/>
      <c r="C357" s="131"/>
      <c r="D357" s="131"/>
      <c r="E357" s="131"/>
      <c r="F357" s="131"/>
      <c r="G357" s="131"/>
      <c r="H357" s="131"/>
      <c r="I357" s="131"/>
      <c r="J357" s="131"/>
    </row>
    <row r="358" spans="2:10">
      <c r="B358" s="131"/>
      <c r="C358" s="131"/>
      <c r="D358" s="131"/>
      <c r="E358" s="131"/>
      <c r="F358" s="131"/>
      <c r="G358" s="131"/>
      <c r="H358" s="131"/>
      <c r="I358" s="131"/>
      <c r="J358" s="131"/>
    </row>
    <row r="359" spans="2:10">
      <c r="B359" s="131"/>
      <c r="C359" s="131"/>
      <c r="D359" s="131"/>
      <c r="E359" s="131"/>
      <c r="F359" s="131"/>
      <c r="G359" s="131"/>
      <c r="H359" s="131"/>
      <c r="I359" s="131"/>
      <c r="J359" s="131"/>
    </row>
    <row r="360" spans="2:10">
      <c r="B360" s="131"/>
      <c r="C360" s="131"/>
      <c r="D360" s="131"/>
      <c r="E360" s="131"/>
      <c r="F360" s="131"/>
      <c r="G360" s="131"/>
      <c r="H360" s="131"/>
      <c r="I360" s="131"/>
      <c r="J360" s="131"/>
    </row>
    <row r="361" spans="2:10">
      <c r="B361" s="131"/>
      <c r="C361" s="131"/>
      <c r="D361" s="131"/>
      <c r="E361" s="131"/>
      <c r="F361" s="131"/>
      <c r="G361" s="131"/>
      <c r="H361" s="131"/>
      <c r="I361" s="131"/>
      <c r="J361" s="131"/>
    </row>
    <row r="362" spans="2:10">
      <c r="B362" s="131"/>
      <c r="C362" s="131"/>
      <c r="D362" s="131"/>
      <c r="E362" s="131"/>
      <c r="F362" s="131"/>
      <c r="G362" s="131"/>
      <c r="H362" s="131"/>
      <c r="I362" s="131"/>
      <c r="J362" s="131"/>
    </row>
    <row r="363" spans="2:10">
      <c r="B363" s="131"/>
      <c r="C363" s="131"/>
      <c r="D363" s="131"/>
      <c r="E363" s="131"/>
      <c r="F363" s="131"/>
      <c r="G363" s="131"/>
      <c r="H363" s="131"/>
      <c r="I363" s="131"/>
      <c r="J363" s="131"/>
    </row>
    <row r="364" spans="2:10">
      <c r="B364" s="131"/>
      <c r="C364" s="131"/>
      <c r="D364" s="131"/>
      <c r="E364" s="131"/>
      <c r="F364" s="131"/>
      <c r="G364" s="131"/>
      <c r="H364" s="131"/>
      <c r="I364" s="131"/>
      <c r="J364" s="131"/>
    </row>
    <row r="365" spans="2:10">
      <c r="B365" s="131"/>
      <c r="C365" s="131"/>
      <c r="D365" s="131"/>
      <c r="E365" s="131"/>
      <c r="F365" s="131"/>
      <c r="G365" s="131"/>
      <c r="H365" s="131"/>
      <c r="I365" s="131"/>
      <c r="J365" s="131"/>
    </row>
    <row r="366" spans="2:10">
      <c r="B366" s="131"/>
      <c r="C366" s="131"/>
      <c r="D366" s="131"/>
      <c r="E366" s="131"/>
      <c r="F366" s="131"/>
      <c r="G366" s="131"/>
      <c r="H366" s="131"/>
      <c r="I366" s="131"/>
      <c r="J366" s="131"/>
    </row>
    <row r="367" spans="2:10">
      <c r="B367" s="131"/>
      <c r="C367" s="131"/>
      <c r="D367" s="131"/>
      <c r="E367" s="131"/>
      <c r="F367" s="131"/>
      <c r="G367" s="131"/>
      <c r="H367" s="131"/>
      <c r="I367" s="131"/>
      <c r="J367" s="131"/>
    </row>
    <row r="368" spans="2:10">
      <c r="B368" s="131"/>
      <c r="C368" s="131"/>
      <c r="D368" s="131"/>
      <c r="E368" s="131"/>
      <c r="F368" s="131"/>
      <c r="G368" s="131"/>
      <c r="H368" s="131"/>
      <c r="I368" s="131"/>
      <c r="J368" s="131"/>
    </row>
    <row r="369" spans="2:10">
      <c r="B369" s="131"/>
      <c r="C369" s="131"/>
      <c r="D369" s="131"/>
      <c r="E369" s="131"/>
      <c r="F369" s="131"/>
      <c r="G369" s="131"/>
      <c r="H369" s="131"/>
      <c r="I369" s="131"/>
      <c r="J369" s="131"/>
    </row>
    <row r="370" spans="2:10">
      <c r="B370" s="131"/>
      <c r="C370" s="131"/>
      <c r="D370" s="131"/>
      <c r="E370" s="131"/>
      <c r="F370" s="131"/>
      <c r="G370" s="131"/>
      <c r="H370" s="131"/>
      <c r="I370" s="131"/>
      <c r="J370" s="131"/>
    </row>
    <row r="371" spans="2:10">
      <c r="B371" s="131"/>
      <c r="C371" s="131"/>
      <c r="D371" s="131"/>
      <c r="E371" s="131"/>
      <c r="F371" s="131"/>
      <c r="G371" s="131"/>
      <c r="H371" s="131"/>
      <c r="I371" s="131"/>
      <c r="J371" s="131"/>
    </row>
    <row r="372" spans="2:10">
      <c r="B372" s="131"/>
      <c r="C372" s="131"/>
      <c r="D372" s="131"/>
      <c r="E372" s="131"/>
      <c r="F372" s="131"/>
      <c r="G372" s="131"/>
      <c r="H372" s="131"/>
      <c r="I372" s="131"/>
      <c r="J372" s="131"/>
    </row>
    <row r="373" spans="2:10">
      <c r="B373" s="131"/>
      <c r="C373" s="131"/>
      <c r="D373" s="131"/>
      <c r="E373" s="131"/>
      <c r="F373" s="131"/>
      <c r="G373" s="131"/>
      <c r="H373" s="131"/>
      <c r="I373" s="131"/>
      <c r="J373" s="131"/>
    </row>
    <row r="374" spans="2:10">
      <c r="B374" s="131"/>
      <c r="C374" s="131"/>
      <c r="D374" s="131"/>
      <c r="E374" s="131"/>
      <c r="F374" s="131"/>
      <c r="G374" s="131"/>
      <c r="H374" s="131"/>
      <c r="I374" s="131"/>
      <c r="J374" s="131"/>
    </row>
    <row r="375" spans="2:10">
      <c r="B375" s="131"/>
      <c r="C375" s="131"/>
      <c r="D375" s="131"/>
      <c r="E375" s="131"/>
      <c r="F375" s="131"/>
      <c r="G375" s="131"/>
      <c r="H375" s="131"/>
      <c r="I375" s="131"/>
      <c r="J375" s="131"/>
    </row>
    <row r="376" spans="2:10">
      <c r="B376" s="131"/>
      <c r="C376" s="131"/>
      <c r="D376" s="131"/>
      <c r="E376" s="131"/>
      <c r="F376" s="131"/>
      <c r="G376" s="131"/>
      <c r="H376" s="131"/>
      <c r="I376" s="131"/>
      <c r="J376" s="131"/>
    </row>
    <row r="377" spans="2:10">
      <c r="B377" s="131"/>
      <c r="C377" s="131"/>
      <c r="D377" s="131"/>
      <c r="E377" s="131"/>
      <c r="F377" s="131"/>
      <c r="G377" s="131"/>
      <c r="H377" s="131"/>
      <c r="I377" s="131"/>
      <c r="J377" s="131"/>
    </row>
    <row r="378" spans="2:10">
      <c r="B378" s="131"/>
      <c r="C378" s="131"/>
      <c r="D378" s="131"/>
      <c r="E378" s="131"/>
      <c r="F378" s="131"/>
      <c r="G378" s="131"/>
      <c r="H378" s="131"/>
      <c r="I378" s="131"/>
      <c r="J378" s="131"/>
    </row>
    <row r="379" spans="2:10">
      <c r="B379" s="131"/>
      <c r="C379" s="131"/>
      <c r="D379" s="131"/>
      <c r="E379" s="131"/>
      <c r="F379" s="131"/>
      <c r="G379" s="131"/>
      <c r="H379" s="131"/>
      <c r="I379" s="131"/>
      <c r="J379" s="131"/>
    </row>
    <row r="380" spans="2:10">
      <c r="B380" s="131"/>
      <c r="C380" s="131"/>
      <c r="D380" s="131"/>
      <c r="E380" s="131"/>
      <c r="F380" s="131"/>
      <c r="G380" s="131"/>
      <c r="H380" s="131"/>
      <c r="I380" s="131"/>
      <c r="J380" s="131"/>
    </row>
    <row r="381" spans="2:10">
      <c r="B381" s="131"/>
      <c r="C381" s="131"/>
      <c r="D381" s="131"/>
      <c r="E381" s="131"/>
      <c r="F381" s="131"/>
      <c r="G381" s="131"/>
      <c r="H381" s="131"/>
      <c r="I381" s="131"/>
      <c r="J381" s="131"/>
    </row>
    <row r="382" spans="2:10">
      <c r="B382" s="131"/>
      <c r="C382" s="131"/>
      <c r="D382" s="131"/>
      <c r="E382" s="131"/>
      <c r="F382" s="131"/>
      <c r="G382" s="131"/>
      <c r="H382" s="131"/>
      <c r="I382" s="131"/>
      <c r="J382" s="131"/>
    </row>
    <row r="383" spans="2:10">
      <c r="B383" s="131"/>
      <c r="C383" s="131"/>
      <c r="D383" s="131"/>
      <c r="E383" s="131"/>
      <c r="F383" s="131"/>
      <c r="G383" s="131"/>
      <c r="H383" s="131"/>
      <c r="I383" s="131"/>
      <c r="J383" s="131"/>
    </row>
    <row r="384" spans="2:10">
      <c r="B384" s="131"/>
      <c r="C384" s="131"/>
      <c r="D384" s="131"/>
      <c r="E384" s="131"/>
      <c r="F384" s="131"/>
      <c r="G384" s="131"/>
      <c r="H384" s="131"/>
      <c r="I384" s="131"/>
      <c r="J384" s="131"/>
    </row>
    <row r="385" spans="2:10">
      <c r="B385" s="131"/>
      <c r="C385" s="131"/>
      <c r="D385" s="131"/>
      <c r="E385" s="131"/>
      <c r="F385" s="131"/>
      <c r="G385" s="131"/>
      <c r="H385" s="131"/>
      <c r="I385" s="131"/>
      <c r="J385" s="131"/>
    </row>
    <row r="386" spans="2:10">
      <c r="B386" s="131"/>
      <c r="C386" s="131"/>
      <c r="D386" s="131"/>
      <c r="E386" s="131"/>
      <c r="F386" s="131"/>
      <c r="G386" s="131"/>
      <c r="H386" s="131"/>
      <c r="I386" s="131"/>
      <c r="J386" s="131"/>
    </row>
    <row r="387" spans="2:10">
      <c r="B387" s="131"/>
      <c r="C387" s="131"/>
      <c r="D387" s="131"/>
      <c r="E387" s="131"/>
      <c r="F387" s="131"/>
      <c r="G387" s="131"/>
      <c r="H387" s="131"/>
      <c r="I387" s="131"/>
      <c r="J387" s="131"/>
    </row>
    <row r="388" spans="2:10">
      <c r="B388" s="131"/>
      <c r="C388" s="131"/>
      <c r="D388" s="131"/>
      <c r="E388" s="131"/>
      <c r="F388" s="131"/>
      <c r="G388" s="131"/>
      <c r="H388" s="131"/>
      <c r="I388" s="131"/>
      <c r="J388" s="131"/>
    </row>
    <row r="389" spans="2:10">
      <c r="B389" s="131"/>
      <c r="C389" s="131"/>
      <c r="D389" s="131"/>
      <c r="E389" s="131"/>
      <c r="F389" s="131"/>
      <c r="G389" s="131"/>
      <c r="H389" s="131"/>
      <c r="I389" s="131"/>
      <c r="J389" s="131"/>
    </row>
    <row r="390" spans="2:10">
      <c r="B390" s="131"/>
      <c r="C390" s="131"/>
      <c r="D390" s="131"/>
      <c r="E390" s="131"/>
      <c r="F390" s="131"/>
      <c r="G390" s="131"/>
      <c r="H390" s="131"/>
      <c r="I390" s="131"/>
      <c r="J390" s="131"/>
    </row>
    <row r="391" spans="2:10">
      <c r="B391" s="131"/>
      <c r="C391" s="131"/>
      <c r="D391" s="131"/>
      <c r="E391" s="131"/>
      <c r="F391" s="131"/>
      <c r="G391" s="131"/>
      <c r="H391" s="131"/>
      <c r="I391" s="131"/>
      <c r="J391" s="131"/>
    </row>
    <row r="392" spans="2:10">
      <c r="B392" s="131"/>
      <c r="C392" s="131"/>
      <c r="D392" s="131"/>
      <c r="E392" s="131"/>
      <c r="F392" s="131"/>
      <c r="G392" s="131"/>
      <c r="H392" s="131"/>
      <c r="I392" s="131"/>
      <c r="J392" s="131"/>
    </row>
    <row r="393" spans="2:10">
      <c r="B393" s="131"/>
      <c r="C393" s="131"/>
      <c r="D393" s="131"/>
      <c r="E393" s="131"/>
      <c r="F393" s="131"/>
      <c r="G393" s="131"/>
      <c r="H393" s="131"/>
      <c r="I393" s="131"/>
      <c r="J393" s="131"/>
    </row>
    <row r="394" spans="2:10">
      <c r="B394" s="131"/>
      <c r="C394" s="131"/>
      <c r="D394" s="131"/>
      <c r="E394" s="131"/>
      <c r="F394" s="131"/>
      <c r="G394" s="131"/>
      <c r="H394" s="131"/>
      <c r="I394" s="131"/>
      <c r="J394" s="131"/>
    </row>
    <row r="395" spans="2:10">
      <c r="B395" s="131"/>
      <c r="C395" s="131"/>
      <c r="D395" s="131"/>
      <c r="E395" s="131"/>
      <c r="F395" s="131"/>
      <c r="G395" s="131"/>
      <c r="H395" s="131"/>
      <c r="I395" s="131"/>
      <c r="J395" s="131"/>
    </row>
    <row r="396" spans="2:10">
      <c r="B396" s="131"/>
      <c r="C396" s="131"/>
      <c r="D396" s="131"/>
      <c r="E396" s="131"/>
      <c r="F396" s="131"/>
      <c r="G396" s="131"/>
      <c r="H396" s="131"/>
      <c r="I396" s="131"/>
      <c r="J396" s="131"/>
    </row>
    <row r="397" spans="2:10">
      <c r="B397" s="131"/>
      <c r="C397" s="131"/>
      <c r="D397" s="131"/>
      <c r="E397" s="131"/>
      <c r="F397" s="131"/>
      <c r="G397" s="131"/>
      <c r="H397" s="131"/>
      <c r="I397" s="131"/>
      <c r="J397" s="131"/>
    </row>
    <row r="398" spans="2:10">
      <c r="B398" s="131"/>
      <c r="C398" s="131"/>
      <c r="D398" s="131"/>
      <c r="E398" s="131"/>
      <c r="F398" s="131"/>
      <c r="G398" s="131"/>
      <c r="H398" s="131"/>
      <c r="I398" s="131"/>
      <c r="J398" s="131"/>
    </row>
    <row r="399" spans="2:10">
      <c r="B399" s="131"/>
      <c r="C399" s="131"/>
      <c r="D399" s="131"/>
      <c r="E399" s="131"/>
      <c r="F399" s="131"/>
      <c r="G399" s="131"/>
      <c r="H399" s="131"/>
      <c r="I399" s="131"/>
      <c r="J399" s="131"/>
    </row>
    <row r="400" spans="2:10">
      <c r="B400" s="131"/>
      <c r="C400" s="131"/>
      <c r="D400" s="131"/>
      <c r="E400" s="131"/>
      <c r="F400" s="131"/>
      <c r="G400" s="131"/>
      <c r="H400" s="131"/>
      <c r="I400" s="131"/>
      <c r="J400" s="131"/>
    </row>
    <row r="401" spans="2:10">
      <c r="B401" s="131"/>
      <c r="C401" s="131"/>
      <c r="D401" s="131"/>
      <c r="E401" s="131"/>
      <c r="F401" s="131"/>
      <c r="G401" s="131"/>
      <c r="H401" s="131"/>
      <c r="I401" s="131"/>
      <c r="J401" s="131"/>
    </row>
    <row r="402" spans="2:10">
      <c r="B402" s="131"/>
      <c r="C402" s="131"/>
      <c r="D402" s="131"/>
      <c r="E402" s="131"/>
      <c r="F402" s="131"/>
      <c r="G402" s="131"/>
      <c r="H402" s="131"/>
      <c r="I402" s="131"/>
      <c r="J402" s="131"/>
    </row>
    <row r="403" spans="2:10">
      <c r="B403" s="131"/>
      <c r="C403" s="131"/>
      <c r="D403" s="131"/>
      <c r="E403" s="131"/>
      <c r="F403" s="131"/>
      <c r="G403" s="131"/>
      <c r="H403" s="131"/>
      <c r="I403" s="131"/>
      <c r="J403" s="131"/>
    </row>
    <row r="404" spans="2:10">
      <c r="B404" s="131"/>
      <c r="C404" s="131"/>
      <c r="D404" s="131"/>
      <c r="E404" s="131"/>
      <c r="F404" s="131"/>
      <c r="G404" s="131"/>
      <c r="H404" s="131"/>
      <c r="I404" s="131"/>
      <c r="J404" s="131"/>
    </row>
    <row r="405" spans="2:10">
      <c r="B405" s="131"/>
      <c r="C405" s="131"/>
      <c r="D405" s="131"/>
      <c r="E405" s="131"/>
      <c r="F405" s="131"/>
      <c r="G405" s="131"/>
      <c r="H405" s="131"/>
      <c r="I405" s="131"/>
      <c r="J405" s="131"/>
    </row>
    <row r="406" spans="2:10">
      <c r="B406" s="131"/>
      <c r="C406" s="131"/>
      <c r="D406" s="131"/>
      <c r="E406" s="131"/>
      <c r="F406" s="131"/>
      <c r="G406" s="131"/>
      <c r="H406" s="131"/>
      <c r="I406" s="131"/>
      <c r="J406" s="131"/>
    </row>
    <row r="407" spans="2:10">
      <c r="B407" s="131"/>
      <c r="C407" s="131"/>
      <c r="D407" s="131"/>
      <c r="E407" s="131"/>
      <c r="F407" s="131"/>
      <c r="G407" s="131"/>
      <c r="H407" s="131"/>
      <c r="I407" s="131"/>
      <c r="J407" s="131"/>
    </row>
    <row r="408" spans="2:10">
      <c r="B408" s="131"/>
      <c r="C408" s="131"/>
      <c r="D408" s="131"/>
      <c r="E408" s="131"/>
      <c r="F408" s="131"/>
      <c r="G408" s="131"/>
      <c r="H408" s="131"/>
      <c r="I408" s="131"/>
      <c r="J408" s="131"/>
    </row>
    <row r="409" spans="2:10">
      <c r="B409" s="131"/>
      <c r="C409" s="131"/>
      <c r="D409" s="131"/>
      <c r="E409" s="131"/>
      <c r="F409" s="131"/>
      <c r="G409" s="131"/>
      <c r="H409" s="131"/>
      <c r="I409" s="131"/>
      <c r="J409" s="131"/>
    </row>
    <row r="410" spans="2:10">
      <c r="B410" s="131"/>
      <c r="C410" s="131"/>
      <c r="D410" s="131"/>
      <c r="E410" s="131"/>
      <c r="F410" s="131"/>
      <c r="G410" s="131"/>
      <c r="H410" s="131"/>
      <c r="I410" s="131"/>
      <c r="J410" s="131"/>
    </row>
    <row r="411" spans="2:10">
      <c r="B411" s="131"/>
      <c r="C411" s="131"/>
      <c r="D411" s="131"/>
      <c r="E411" s="131"/>
      <c r="F411" s="131"/>
      <c r="G411" s="131"/>
      <c r="H411" s="131"/>
      <c r="I411" s="131"/>
      <c r="J411" s="131"/>
    </row>
    <row r="412" spans="2:10">
      <c r="B412" s="131"/>
      <c r="C412" s="131"/>
      <c r="D412" s="131"/>
      <c r="E412" s="131"/>
      <c r="F412" s="131"/>
      <c r="G412" s="131"/>
      <c r="H412" s="131"/>
      <c r="I412" s="131"/>
      <c r="J412" s="131"/>
    </row>
    <row r="413" spans="2:10">
      <c r="B413" s="131"/>
      <c r="C413" s="131"/>
      <c r="D413" s="131"/>
      <c r="E413" s="131"/>
      <c r="F413" s="131"/>
      <c r="G413" s="131"/>
      <c r="H413" s="131"/>
      <c r="I413" s="131"/>
      <c r="J413" s="131"/>
    </row>
    <row r="414" spans="2:10">
      <c r="B414" s="131"/>
      <c r="C414" s="131"/>
      <c r="D414" s="131"/>
      <c r="E414" s="131"/>
      <c r="F414" s="131"/>
      <c r="G414" s="131"/>
      <c r="H414" s="131"/>
      <c r="I414" s="131"/>
      <c r="J414" s="131"/>
    </row>
    <row r="415" spans="2:10">
      <c r="B415" s="131"/>
      <c r="C415" s="131"/>
      <c r="D415" s="131"/>
      <c r="E415" s="131"/>
      <c r="F415" s="131"/>
      <c r="G415" s="131"/>
      <c r="H415" s="131"/>
      <c r="I415" s="131"/>
      <c r="J415" s="131"/>
    </row>
  </sheetData>
  <hyperlinks>
    <hyperlink ref="H40" r:id="rId1" display="https://international-aluminium.org/statistics/metallurgical-alumina-refining-energy-intensity/_x000a_" xr:uid="{7F744A2F-A42A-446D-9761-B379A4B6CB5F}"/>
    <hyperlink ref="H24" r:id="rId2" xr:uid="{DBF7BB76-C805-43CB-88CF-1BB281B471C0}"/>
    <hyperlink ref="H23" r:id="rId3" display="https://aluminium-stewardship.org/wp-content/uploads/2021/10/20211012-ASI-GHG-Validation-Report_v2.0_GENERIC.pdf" xr:uid="{46D64E00-ECD9-4DCC-8052-44BE09574953}"/>
    <hyperlink ref="H68" r:id="rId4" display="https://alucycle.international-aluminium.org/public-access/" xr:uid="{117725DE-FE2F-42FA-8CC2-1D3080A3ECC0}"/>
    <hyperlink ref="H12" r:id="rId5" display="https://international-aluminium.org/statistics/greenhouse-gas-emissions-aluminium-sector/" xr:uid="{56D5A8D3-9AB7-47C6-A703-334A4A660FEF}"/>
    <hyperlink ref="H9" r:id="rId6" display="https://international-aluminium.org/statistics/greenhouse-gas-emissions-aluminium-sector/" xr:uid="{BA95F89F-E39F-489D-90AA-B92AD76D3A96}"/>
    <hyperlink ref="H34" r:id="rId7" xr:uid="{1AEFCFFA-6E6C-478A-AB4D-F4310667116B}"/>
    <hyperlink ref="H14" r:id="rId8" xr:uid="{02319CF2-AF50-4269-B619-7FD34A37B100}"/>
    <hyperlink ref="H72" r:id="rId9" xr:uid="{04403FA7-2750-40D2-A1B7-6F917C416D4B}"/>
    <hyperlink ref="H41" r:id="rId10" xr:uid="{AFCBCB1A-26A3-4C38-AE58-6C1B98C39BC0}"/>
    <hyperlink ref="H35" r:id="rId11" xr:uid="{219341FC-E2EB-4113-ACEF-D8BDBBC29F99}"/>
    <hyperlink ref="H21" r:id="rId12" xr:uid="{5F2BA06C-4969-465F-83DF-0ACC75365C6B}"/>
    <hyperlink ref="H46" r:id="rId13" display="https://international-aluminium.org/statistics/primary-aluminium-smelting-power-consumption/" xr:uid="{37648151-DF47-4B45-8803-9F766B4CAF8E}"/>
    <hyperlink ref="H59" r:id="rId14" display="https://missionpossiblepartnership.org/wp-content/uploads/2023/04/Making-1.5-Aligned-Aluminium-possible.pdf" xr:uid="{AE815B62-44F7-484F-A97D-76499A0C370C}"/>
    <hyperlink ref="H60" r:id="rId15" display="https://missionpossiblepartnership.org/wp-content/uploads/2023/04/Making-1.5-Aligned-Aluminium-possible.pdf" xr:uid="{560CC48D-B84E-4E7C-9F56-534956278779}"/>
    <hyperlink ref="H61" r:id="rId16" display="https://missionpossiblepartnership.org/wp-content/uploads/2023/04/Making-1.5-Aligned-Aluminium-possible.pdf" xr:uid="{18431188-D6D7-4211-9F78-B3919A0E78E5}"/>
    <hyperlink ref="H62" r:id="rId17" display="https://missionpossiblepartnership.org/wp-content/uploads/2023/04/Making-1.5-Aligned-Aluminium-possible.pdf" xr:uid="{6D41523E-D0F1-4D20-BFF5-2398590699CC}"/>
    <hyperlink ref="H63" r:id="rId18" display="https://missionpossiblepartnership.org/wp-content/uploads/2023/04/Making-1.5-Aligned-Aluminium-possible.pdf" xr:uid="{5D7CEF4E-E89E-4D62-B478-EB61C12C1497}"/>
    <hyperlink ref="H54" r:id="rId19" xr:uid="{F71B2C18-50D9-4069-9E00-177AC5180F72}"/>
    <hyperlink ref="H55:H57" r:id="rId20" display="https://international-aluminium.org/statistics/primary-aluminium-smelting-power-consumption/" xr:uid="{70BA6F08-727E-4265-BF67-88920B96558C}"/>
  </hyperlinks>
  <pageMargins left="0.7" right="0.7" top="0.75" bottom="0.75" header="0.3" footer="0.3"/>
  <pageSetup orientation="portrait"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D7BC-3042-45A7-8A5F-20006D1C0BAB}">
  <sheetPr codeName="Sheet9">
    <tabColor theme="3"/>
  </sheetPr>
  <dimension ref="A1:BX199"/>
  <sheetViews>
    <sheetView showGridLines="0" topLeftCell="A71" zoomScale="59" zoomScaleNormal="70" workbookViewId="0">
      <selection activeCell="D120" sqref="D120:D124"/>
    </sheetView>
  </sheetViews>
  <sheetFormatPr baseColWidth="10" defaultColWidth="8.83203125" defaultRowHeight="15"/>
  <cols>
    <col min="1" max="1" width="8.83203125" style="144"/>
    <col min="2" max="2" width="65.5" style="21" customWidth="1"/>
    <col min="3" max="3" width="56.5" style="21" customWidth="1"/>
    <col min="4" max="4" width="15.1640625" style="21" customWidth="1"/>
    <col min="5" max="5" width="11" style="21" customWidth="1"/>
    <col min="6" max="6" width="11.83203125" style="21" customWidth="1"/>
    <col min="7" max="7" width="45" style="21" customWidth="1"/>
    <col min="8" max="8" width="21" style="21" customWidth="1"/>
    <col min="9" max="9" width="33.83203125" style="21" customWidth="1"/>
    <col min="10" max="76" width="8.83203125" style="144"/>
  </cols>
  <sheetData>
    <row r="1" spans="1:9" s="1" customFormat="1">
      <c r="B1" s="2"/>
      <c r="C1" s="2"/>
      <c r="D1" s="2"/>
      <c r="E1" s="2"/>
      <c r="F1" s="2"/>
      <c r="G1" s="2"/>
      <c r="H1" s="2"/>
      <c r="I1" s="2"/>
    </row>
    <row r="2" spans="1:9" s="1" customFormat="1" ht="15" customHeight="1">
      <c r="B2" s="19" t="s">
        <v>371</v>
      </c>
      <c r="C2" s="19"/>
      <c r="D2" s="2"/>
      <c r="E2" s="2"/>
      <c r="F2" s="2"/>
      <c r="G2" s="2"/>
      <c r="H2" s="2"/>
      <c r="I2" s="2"/>
    </row>
    <row r="3" spans="1:9" s="1" customFormat="1" ht="15" customHeight="1">
      <c r="B3" s="19" t="s">
        <v>547</v>
      </c>
      <c r="C3" s="19"/>
      <c r="D3" s="2"/>
      <c r="E3" s="2"/>
      <c r="F3" s="2"/>
      <c r="G3" s="2"/>
      <c r="H3" s="2"/>
      <c r="I3" s="2"/>
    </row>
    <row r="4" spans="1:9" s="4" customFormat="1" ht="15" customHeight="1" thickBot="1">
      <c r="B4" s="5"/>
      <c r="C4" s="5"/>
      <c r="D4" s="5"/>
      <c r="E4" s="5"/>
      <c r="F4" s="5"/>
      <c r="G4" s="5"/>
      <c r="H4" s="5"/>
      <c r="I4" s="5"/>
    </row>
    <row r="5" spans="1:9" s="144" customFormat="1">
      <c r="B5" s="131"/>
      <c r="C5" s="131"/>
      <c r="D5" s="131"/>
      <c r="E5" s="131"/>
      <c r="F5" s="131"/>
      <c r="G5" s="131"/>
      <c r="H5" s="131"/>
      <c r="I5" s="131"/>
    </row>
    <row r="6" spans="1:9" s="144" customFormat="1" ht="14.25" customHeight="1">
      <c r="B6" s="148"/>
      <c r="C6" s="148"/>
      <c r="D6" s="131"/>
      <c r="E6" s="131"/>
      <c r="F6" s="131"/>
      <c r="G6" s="131"/>
      <c r="H6" s="131"/>
      <c r="I6" s="131"/>
    </row>
    <row r="7" spans="1:9">
      <c r="A7" s="161">
        <v>1</v>
      </c>
      <c r="B7" s="53" t="s">
        <v>71</v>
      </c>
      <c r="C7" s="53"/>
      <c r="D7" s="35"/>
      <c r="E7" s="35"/>
      <c r="F7" s="35"/>
      <c r="G7" s="35"/>
      <c r="H7" s="35"/>
      <c r="I7" s="35"/>
    </row>
    <row r="8" spans="1:9">
      <c r="B8" s="24" t="s">
        <v>47</v>
      </c>
      <c r="C8" s="24" t="s">
        <v>1502</v>
      </c>
      <c r="D8" s="24" t="s">
        <v>49</v>
      </c>
      <c r="E8" s="24" t="s">
        <v>28</v>
      </c>
      <c r="F8" s="24" t="s">
        <v>50</v>
      </c>
      <c r="G8" s="24" t="s">
        <v>29</v>
      </c>
      <c r="H8" s="24" t="s">
        <v>122</v>
      </c>
      <c r="I8" s="24" t="s">
        <v>123</v>
      </c>
    </row>
    <row r="9" spans="1:9" s="144" customFormat="1">
      <c r="B9" s="162" t="s">
        <v>552</v>
      </c>
      <c r="C9" s="162"/>
      <c r="D9" s="131"/>
      <c r="E9" s="131"/>
      <c r="F9" s="131"/>
      <c r="G9" s="131"/>
      <c r="H9" s="131"/>
      <c r="I9" s="131"/>
    </row>
    <row r="10" spans="1:9" s="144" customFormat="1">
      <c r="B10" s="147" t="s">
        <v>553</v>
      </c>
      <c r="C10" s="102" t="s">
        <v>554</v>
      </c>
      <c r="D10" s="131"/>
      <c r="E10" s="131" t="s">
        <v>185</v>
      </c>
      <c r="F10" s="131">
        <v>2022</v>
      </c>
      <c r="G10" s="163" t="s">
        <v>520</v>
      </c>
      <c r="H10" s="131"/>
      <c r="I10" s="131"/>
    </row>
    <row r="11" spans="1:9" s="144" customFormat="1">
      <c r="B11" s="147" t="s">
        <v>76</v>
      </c>
      <c r="C11" s="208" t="s">
        <v>556</v>
      </c>
      <c r="D11" s="131"/>
      <c r="E11" s="131" t="s">
        <v>185</v>
      </c>
      <c r="F11" s="131">
        <v>2022</v>
      </c>
      <c r="G11" s="163" t="s">
        <v>558</v>
      </c>
      <c r="H11" s="131" t="s">
        <v>290</v>
      </c>
      <c r="I11" s="131"/>
    </row>
    <row r="12" spans="1:9" s="144" customFormat="1">
      <c r="B12" s="147" t="s">
        <v>77</v>
      </c>
      <c r="C12" s="208" t="s">
        <v>559</v>
      </c>
      <c r="D12" s="131"/>
      <c r="E12" s="131" t="s">
        <v>185</v>
      </c>
      <c r="F12" s="131">
        <v>2022</v>
      </c>
      <c r="G12" s="163" t="s">
        <v>520</v>
      </c>
      <c r="H12" s="131" t="s">
        <v>130</v>
      </c>
      <c r="I12" s="131"/>
    </row>
    <row r="13" spans="1:9" s="144" customFormat="1">
      <c r="B13" s="147" t="s">
        <v>78</v>
      </c>
      <c r="C13" s="208" t="s">
        <v>560</v>
      </c>
      <c r="D13" s="131"/>
      <c r="E13" s="131" t="s">
        <v>51</v>
      </c>
      <c r="F13" s="131">
        <v>2021</v>
      </c>
      <c r="G13" s="164" t="s">
        <v>437</v>
      </c>
      <c r="H13" s="131"/>
      <c r="I13" s="131"/>
    </row>
    <row r="14" spans="1:9" s="144" customFormat="1">
      <c r="B14" s="147" t="s">
        <v>79</v>
      </c>
      <c r="C14" s="208" t="s">
        <v>561</v>
      </c>
      <c r="D14" s="131"/>
      <c r="E14" s="131" t="s">
        <v>185</v>
      </c>
      <c r="F14" s="131">
        <v>2022</v>
      </c>
      <c r="G14" s="163" t="s">
        <v>520</v>
      </c>
      <c r="H14" s="131" t="s">
        <v>563</v>
      </c>
      <c r="I14" s="131"/>
    </row>
    <row r="15" spans="1:9" s="144" customFormat="1">
      <c r="B15" s="147" t="s">
        <v>80</v>
      </c>
      <c r="C15" s="208" t="s">
        <v>564</v>
      </c>
      <c r="D15" s="131"/>
      <c r="E15" s="131" t="s">
        <v>185</v>
      </c>
      <c r="F15" s="131">
        <v>2022</v>
      </c>
      <c r="G15" s="131" t="s">
        <v>129</v>
      </c>
      <c r="H15" s="131" t="s">
        <v>130</v>
      </c>
      <c r="I15" s="131"/>
    </row>
    <row r="16" spans="1:9" s="144" customFormat="1" ht="10" customHeight="1">
      <c r="B16" s="162" t="s">
        <v>566</v>
      </c>
      <c r="C16" s="162"/>
      <c r="D16" s="131"/>
      <c r="E16" s="131"/>
      <c r="F16" s="131"/>
      <c r="G16" s="131"/>
      <c r="H16" s="131"/>
      <c r="I16" s="131"/>
    </row>
    <row r="17" spans="2:9" s="144" customFormat="1">
      <c r="B17" s="147" t="s">
        <v>553</v>
      </c>
      <c r="C17" s="160">
        <v>0.13</v>
      </c>
      <c r="D17" s="131" t="s">
        <v>33</v>
      </c>
      <c r="E17" s="131" t="s">
        <v>185</v>
      </c>
      <c r="F17" s="131">
        <v>2022</v>
      </c>
      <c r="G17" s="163" t="s">
        <v>520</v>
      </c>
      <c r="H17" s="131" t="s">
        <v>567</v>
      </c>
      <c r="I17" s="131" t="s">
        <v>568</v>
      </c>
    </row>
    <row r="18" spans="2:9" s="144" customFormat="1">
      <c r="B18" s="147" t="s">
        <v>76</v>
      </c>
      <c r="C18" s="160">
        <v>0.1</v>
      </c>
      <c r="D18" s="131" t="s">
        <v>33</v>
      </c>
      <c r="E18" s="131" t="s">
        <v>185</v>
      </c>
      <c r="F18" s="131">
        <v>2022</v>
      </c>
      <c r="G18" s="131" t="s">
        <v>129</v>
      </c>
      <c r="H18" s="131" t="s">
        <v>129</v>
      </c>
      <c r="I18" s="131" t="s">
        <v>569</v>
      </c>
    </row>
    <row r="19" spans="2:9" s="144" customFormat="1">
      <c r="B19" s="147" t="s">
        <v>77</v>
      </c>
      <c r="C19" s="160">
        <f>70% * C17</f>
        <v>9.0999999999999998E-2</v>
      </c>
      <c r="D19" s="131" t="s">
        <v>33</v>
      </c>
      <c r="E19" s="131" t="s">
        <v>185</v>
      </c>
      <c r="F19" s="131">
        <v>2022</v>
      </c>
      <c r="G19" s="131" t="s">
        <v>129</v>
      </c>
      <c r="H19" s="131" t="s">
        <v>129</v>
      </c>
      <c r="I19" s="131" t="s">
        <v>570</v>
      </c>
    </row>
    <row r="20" spans="2:9" s="144" customFormat="1">
      <c r="B20" s="147" t="s">
        <v>78</v>
      </c>
      <c r="C20" s="160">
        <v>0.67</v>
      </c>
      <c r="D20" s="131" t="s">
        <v>33</v>
      </c>
      <c r="E20" s="131" t="s">
        <v>185</v>
      </c>
      <c r="F20" s="131">
        <v>2022</v>
      </c>
      <c r="G20" s="131" t="s">
        <v>129</v>
      </c>
      <c r="H20" s="131" t="s">
        <v>129</v>
      </c>
      <c r="I20" s="131"/>
    </row>
    <row r="21" spans="2:9" s="144" customFormat="1">
      <c r="B21" s="147" t="s">
        <v>79</v>
      </c>
      <c r="C21" s="160">
        <v>0.13</v>
      </c>
      <c r="D21" s="131" t="s">
        <v>33</v>
      </c>
      <c r="E21" s="131" t="s">
        <v>185</v>
      </c>
      <c r="F21" s="131">
        <v>2022</v>
      </c>
      <c r="G21" s="131" t="s">
        <v>129</v>
      </c>
      <c r="H21" s="131" t="s">
        <v>129</v>
      </c>
      <c r="I21" s="131" t="s">
        <v>572</v>
      </c>
    </row>
    <row r="22" spans="2:9" s="144" customFormat="1">
      <c r="B22" s="147" t="s">
        <v>80</v>
      </c>
      <c r="C22" s="160">
        <v>0.09</v>
      </c>
      <c r="D22" s="131" t="s">
        <v>33</v>
      </c>
      <c r="E22" s="131" t="s">
        <v>185</v>
      </c>
      <c r="F22" s="131">
        <v>2022</v>
      </c>
      <c r="G22" s="131" t="s">
        <v>129</v>
      </c>
      <c r="H22" s="131" t="s">
        <v>129</v>
      </c>
      <c r="I22" s="131" t="s">
        <v>574</v>
      </c>
    </row>
    <row r="23" spans="2:9" s="144" customFormat="1">
      <c r="B23" s="162" t="s">
        <v>575</v>
      </c>
      <c r="C23" s="162"/>
      <c r="D23" s="131"/>
      <c r="E23" s="131"/>
      <c r="F23" s="131"/>
      <c r="G23" s="131"/>
      <c r="H23" s="131"/>
      <c r="I23" s="131"/>
    </row>
    <row r="24" spans="2:9" s="144" customFormat="1">
      <c r="B24" s="147" t="s">
        <v>553</v>
      </c>
      <c r="C24" s="160">
        <v>0.08</v>
      </c>
      <c r="D24" s="131" t="s">
        <v>33</v>
      </c>
      <c r="E24" s="131" t="s">
        <v>285</v>
      </c>
      <c r="F24" s="131">
        <v>2021</v>
      </c>
      <c r="G24" s="131"/>
      <c r="H24" s="131"/>
      <c r="I24" s="131" t="s">
        <v>577</v>
      </c>
    </row>
    <row r="25" spans="2:9" s="144" customFormat="1">
      <c r="B25" s="147" t="s">
        <v>76</v>
      </c>
      <c r="C25" s="160">
        <v>0.06</v>
      </c>
      <c r="D25" s="131"/>
      <c r="E25" s="131" t="s">
        <v>285</v>
      </c>
      <c r="F25" s="131">
        <v>2021</v>
      </c>
      <c r="G25" s="131"/>
      <c r="H25" s="131"/>
      <c r="I25" s="131" t="s">
        <v>578</v>
      </c>
    </row>
    <row r="26" spans="2:9" s="144" customFormat="1">
      <c r="B26" s="147" t="s">
        <v>77</v>
      </c>
      <c r="C26" s="160">
        <v>0.107</v>
      </c>
      <c r="D26" s="131" t="s">
        <v>33</v>
      </c>
      <c r="E26" s="131" t="s">
        <v>185</v>
      </c>
      <c r="F26" s="131">
        <v>2022</v>
      </c>
      <c r="G26" s="163" t="s">
        <v>520</v>
      </c>
      <c r="H26" s="131" t="s">
        <v>579</v>
      </c>
      <c r="I26" s="131" t="s">
        <v>580</v>
      </c>
    </row>
    <row r="27" spans="2:9" s="144" customFormat="1" ht="32">
      <c r="B27" s="147" t="s">
        <v>78</v>
      </c>
      <c r="C27" s="156" t="s">
        <v>581</v>
      </c>
      <c r="D27" s="131" t="s">
        <v>33</v>
      </c>
      <c r="E27" s="131" t="s">
        <v>185</v>
      </c>
      <c r="F27" s="131">
        <v>2022</v>
      </c>
      <c r="G27" s="163" t="s">
        <v>129</v>
      </c>
      <c r="H27" s="131" t="s">
        <v>579</v>
      </c>
      <c r="I27" s="131" t="s">
        <v>583</v>
      </c>
    </row>
    <row r="28" spans="2:9" s="144" customFormat="1">
      <c r="B28" s="147" t="s">
        <v>79</v>
      </c>
      <c r="C28" s="160">
        <v>8.8999999999999996E-2</v>
      </c>
      <c r="D28" s="131" t="s">
        <v>33</v>
      </c>
      <c r="E28" s="131" t="s">
        <v>185</v>
      </c>
      <c r="F28" s="131">
        <v>2022</v>
      </c>
      <c r="G28" s="164" t="s">
        <v>129</v>
      </c>
      <c r="H28" s="131" t="s">
        <v>579</v>
      </c>
      <c r="I28" s="131" t="s">
        <v>585</v>
      </c>
    </row>
    <row r="29" spans="2:9" s="144" customFormat="1">
      <c r="B29" s="147" t="s">
        <v>80</v>
      </c>
      <c r="C29" s="165" t="s">
        <v>586</v>
      </c>
      <c r="D29" s="131" t="s">
        <v>33</v>
      </c>
      <c r="E29" s="131"/>
      <c r="F29" s="131">
        <v>2021</v>
      </c>
      <c r="G29" s="131" t="s">
        <v>587</v>
      </c>
      <c r="H29" s="131"/>
      <c r="I29" s="131" t="s">
        <v>588</v>
      </c>
    </row>
    <row r="30" spans="2:9" s="144" customFormat="1">
      <c r="B30" s="162" t="s">
        <v>236</v>
      </c>
      <c r="C30" s="162"/>
      <c r="D30" s="131"/>
      <c r="E30" s="131"/>
      <c r="F30" s="131"/>
      <c r="G30" s="131"/>
      <c r="H30" s="131"/>
      <c r="I30" s="131"/>
    </row>
    <row r="31" spans="2:9" s="144" customFormat="1">
      <c r="B31" s="147" t="s">
        <v>75</v>
      </c>
      <c r="C31" s="147">
        <v>0</v>
      </c>
      <c r="D31" s="131" t="s">
        <v>33</v>
      </c>
      <c r="E31" s="131" t="s">
        <v>185</v>
      </c>
      <c r="F31" s="131">
        <v>2022</v>
      </c>
      <c r="G31" s="163" t="s">
        <v>520</v>
      </c>
      <c r="H31" s="131" t="s">
        <v>589</v>
      </c>
      <c r="I31" s="131"/>
    </row>
    <row r="32" spans="2:9" s="144" customFormat="1">
      <c r="B32" s="147" t="s">
        <v>76</v>
      </c>
      <c r="C32" s="147">
        <v>0</v>
      </c>
      <c r="D32" s="131" t="s">
        <v>33</v>
      </c>
      <c r="E32" s="131" t="s">
        <v>185</v>
      </c>
      <c r="F32" s="131">
        <v>2022</v>
      </c>
      <c r="G32" s="163" t="s">
        <v>129</v>
      </c>
      <c r="H32" s="131" t="s">
        <v>589</v>
      </c>
      <c r="I32" s="131"/>
    </row>
    <row r="33" spans="1:9" s="144" customFormat="1">
      <c r="B33" s="147" t="s">
        <v>77</v>
      </c>
      <c r="C33" s="131" t="s">
        <v>438</v>
      </c>
      <c r="D33" s="131" t="s">
        <v>33</v>
      </c>
      <c r="E33" s="131" t="s">
        <v>185</v>
      </c>
      <c r="F33" s="131">
        <v>2022</v>
      </c>
      <c r="G33" s="163" t="s">
        <v>129</v>
      </c>
      <c r="H33" s="131" t="s">
        <v>589</v>
      </c>
      <c r="I33" s="131"/>
    </row>
    <row r="34" spans="1:9" s="144" customFormat="1">
      <c r="B34" s="147" t="s">
        <v>78</v>
      </c>
      <c r="C34" s="131" t="s">
        <v>598</v>
      </c>
      <c r="D34" s="131" t="s">
        <v>33</v>
      </c>
      <c r="E34" s="131" t="s">
        <v>185</v>
      </c>
      <c r="F34" s="131">
        <v>2022</v>
      </c>
      <c r="G34" s="131" t="s">
        <v>129</v>
      </c>
      <c r="H34" s="131" t="s">
        <v>591</v>
      </c>
      <c r="I34" s="131"/>
    </row>
    <row r="35" spans="1:9" s="144" customFormat="1">
      <c r="B35" s="147" t="s">
        <v>79</v>
      </c>
      <c r="C35" s="131" t="s">
        <v>439</v>
      </c>
      <c r="D35" s="131" t="s">
        <v>33</v>
      </c>
      <c r="E35" s="131" t="s">
        <v>185</v>
      </c>
      <c r="F35" s="131">
        <v>2022</v>
      </c>
      <c r="G35" s="131" t="s">
        <v>129</v>
      </c>
      <c r="H35" s="131" t="s">
        <v>592</v>
      </c>
      <c r="I35" s="131"/>
    </row>
    <row r="36" spans="1:9" s="144" customFormat="1">
      <c r="B36" s="147" t="s">
        <v>80</v>
      </c>
      <c r="C36" s="147">
        <v>0</v>
      </c>
      <c r="D36" s="131" t="s">
        <v>33</v>
      </c>
      <c r="E36" s="131" t="s">
        <v>185</v>
      </c>
      <c r="F36" s="131">
        <v>2022</v>
      </c>
      <c r="G36" s="131" t="s">
        <v>129</v>
      </c>
      <c r="H36" s="131"/>
      <c r="I36" s="131"/>
    </row>
    <row r="37" spans="1:9" s="144" customFormat="1">
      <c r="B37" s="162" t="s">
        <v>599</v>
      </c>
      <c r="C37" s="165">
        <v>0.38</v>
      </c>
      <c r="D37" s="131"/>
      <c r="E37" s="131"/>
      <c r="F37" s="131"/>
      <c r="G37" s="131"/>
      <c r="H37" s="131"/>
      <c r="I37" s="131"/>
    </row>
    <row r="38" spans="1:9" s="144" customFormat="1">
      <c r="B38" s="131"/>
      <c r="C38" s="131"/>
      <c r="D38" s="131"/>
      <c r="E38" s="131"/>
      <c r="F38" s="131"/>
      <c r="G38" s="131"/>
      <c r="H38" s="131"/>
      <c r="I38" s="131"/>
    </row>
    <row r="39" spans="1:9">
      <c r="A39" s="161">
        <v>2</v>
      </c>
      <c r="B39" s="53" t="s">
        <v>82</v>
      </c>
      <c r="C39" s="53"/>
      <c r="D39" s="35"/>
      <c r="E39" s="35"/>
      <c r="F39" s="35"/>
      <c r="G39" s="35"/>
      <c r="H39" s="35"/>
      <c r="I39" s="35"/>
    </row>
    <row r="40" spans="1:9">
      <c r="B40" s="24" t="s">
        <v>47</v>
      </c>
      <c r="C40" s="24"/>
      <c r="D40" s="24" t="s">
        <v>49</v>
      </c>
      <c r="E40" s="24" t="s">
        <v>28</v>
      </c>
      <c r="F40" s="24" t="s">
        <v>50</v>
      </c>
      <c r="G40" s="24" t="s">
        <v>29</v>
      </c>
      <c r="H40" s="24" t="s">
        <v>122</v>
      </c>
      <c r="I40" s="24" t="s">
        <v>123</v>
      </c>
    </row>
    <row r="41" spans="1:9" s="144" customFormat="1">
      <c r="B41" s="131"/>
      <c r="C41" s="131"/>
      <c r="D41" s="131"/>
      <c r="E41" s="131"/>
      <c r="F41" s="131"/>
      <c r="G41" s="131"/>
      <c r="H41" s="131"/>
      <c r="I41" s="131"/>
    </row>
    <row r="42" spans="1:9" s="144" customFormat="1">
      <c r="B42" s="162" t="s">
        <v>240</v>
      </c>
      <c r="C42" s="131">
        <v>150</v>
      </c>
      <c r="D42" s="131" t="s">
        <v>61</v>
      </c>
      <c r="E42" s="131" t="s">
        <v>185</v>
      </c>
      <c r="F42" s="131">
        <v>2021</v>
      </c>
      <c r="G42" s="163" t="s">
        <v>520</v>
      </c>
      <c r="H42" s="131" t="s">
        <v>545</v>
      </c>
      <c r="I42" s="131"/>
    </row>
    <row r="43" spans="1:9" s="144" customFormat="1">
      <c r="B43" s="147" t="s">
        <v>12</v>
      </c>
      <c r="C43" s="147">
        <v>69</v>
      </c>
      <c r="D43" s="131" t="s">
        <v>61</v>
      </c>
      <c r="E43" s="131" t="s">
        <v>185</v>
      </c>
      <c r="F43" s="131">
        <v>2021</v>
      </c>
      <c r="G43" s="131" t="s">
        <v>129</v>
      </c>
      <c r="H43" s="131" t="s">
        <v>545</v>
      </c>
      <c r="I43" s="131"/>
    </row>
    <row r="44" spans="1:9" s="144" customFormat="1">
      <c r="B44" s="147" t="s">
        <v>600</v>
      </c>
      <c r="C44" s="147">
        <v>81</v>
      </c>
      <c r="D44" s="131" t="s">
        <v>61</v>
      </c>
      <c r="E44" s="131" t="s">
        <v>185</v>
      </c>
      <c r="F44" s="131">
        <v>2021</v>
      </c>
      <c r="G44" s="131" t="s">
        <v>129</v>
      </c>
      <c r="H44" s="131" t="s">
        <v>545</v>
      </c>
      <c r="I44" s="131"/>
    </row>
    <row r="45" spans="1:9" s="144" customFormat="1">
      <c r="B45" s="147" t="s">
        <v>12</v>
      </c>
      <c r="C45" s="160">
        <f>C43/C42</f>
        <v>0.46</v>
      </c>
      <c r="D45" s="131"/>
      <c r="E45" s="158" t="s">
        <v>52</v>
      </c>
      <c r="F45" s="158" t="s">
        <v>52</v>
      </c>
      <c r="G45" s="158" t="s">
        <v>52</v>
      </c>
      <c r="H45" s="158" t="s">
        <v>52</v>
      </c>
      <c r="I45" s="131" t="s">
        <v>601</v>
      </c>
    </row>
    <row r="46" spans="1:9" s="144" customFormat="1">
      <c r="B46" s="147" t="s">
        <v>600</v>
      </c>
      <c r="C46" s="160">
        <f>C44/C42</f>
        <v>0.54</v>
      </c>
      <c r="D46" s="131"/>
      <c r="E46" s="158" t="s">
        <v>52</v>
      </c>
      <c r="F46" s="158" t="s">
        <v>52</v>
      </c>
      <c r="G46" s="158" t="s">
        <v>52</v>
      </c>
      <c r="H46" s="158" t="s">
        <v>52</v>
      </c>
      <c r="I46" s="131" t="s">
        <v>601</v>
      </c>
    </row>
    <row r="47" spans="1:9" s="144" customFormat="1">
      <c r="B47" s="131"/>
      <c r="C47" s="131"/>
      <c r="D47" s="131"/>
      <c r="E47" s="131"/>
      <c r="F47" s="131"/>
      <c r="G47" s="131"/>
      <c r="H47" s="131"/>
      <c r="I47" s="131"/>
    </row>
    <row r="48" spans="1:9" s="144" customFormat="1">
      <c r="B48" s="25" t="s">
        <v>254</v>
      </c>
      <c r="C48" s="166"/>
      <c r="D48" s="131"/>
      <c r="E48" s="131"/>
      <c r="F48" s="131"/>
      <c r="G48" s="131"/>
      <c r="H48" s="131" t="s">
        <v>592</v>
      </c>
      <c r="I48" s="131"/>
    </row>
    <row r="49" spans="2:9" s="144" customFormat="1">
      <c r="B49" s="131" t="s">
        <v>602</v>
      </c>
      <c r="C49" s="149">
        <f>C56/365/24/C58</f>
        <v>238.77839041095888</v>
      </c>
      <c r="D49" s="131" t="s">
        <v>43</v>
      </c>
      <c r="E49" s="158" t="s">
        <v>52</v>
      </c>
      <c r="F49" s="131">
        <v>2021</v>
      </c>
      <c r="G49" s="158" t="s">
        <v>52</v>
      </c>
      <c r="H49" s="158" t="s">
        <v>52</v>
      </c>
      <c r="I49" s="131"/>
    </row>
    <row r="50" spans="2:9" s="144" customFormat="1" hidden="1">
      <c r="B50" s="131" t="s">
        <v>603</v>
      </c>
      <c r="C50" s="149">
        <f>C49*44%</f>
        <v>105.0624917808219</v>
      </c>
      <c r="D50" s="131"/>
      <c r="E50" s="158"/>
      <c r="F50" s="131"/>
      <c r="G50" s="158"/>
      <c r="H50" s="158"/>
      <c r="I50" s="131"/>
    </row>
    <row r="51" spans="2:9" s="144" customFormat="1">
      <c r="B51" s="147" t="s">
        <v>604</v>
      </c>
      <c r="C51" s="147">
        <v>1</v>
      </c>
      <c r="D51" s="131" t="s">
        <v>61</v>
      </c>
      <c r="E51" s="158" t="s">
        <v>52</v>
      </c>
      <c r="F51" s="131">
        <v>2021</v>
      </c>
      <c r="G51" s="158" t="s">
        <v>52</v>
      </c>
      <c r="H51" s="158" t="s">
        <v>52</v>
      </c>
      <c r="I51" s="131" t="s">
        <v>605</v>
      </c>
    </row>
    <row r="52" spans="2:9" s="144" customFormat="1">
      <c r="B52" s="147" t="s">
        <v>606</v>
      </c>
      <c r="C52" s="160">
        <f>1-0.3254</f>
        <v>0.67459999999999998</v>
      </c>
      <c r="D52" s="131" t="s">
        <v>33</v>
      </c>
      <c r="E52" s="158" t="s">
        <v>52</v>
      </c>
      <c r="F52" s="158">
        <v>2021</v>
      </c>
      <c r="G52" s="163" t="s">
        <v>530</v>
      </c>
      <c r="H52" s="158" t="s">
        <v>607</v>
      </c>
      <c r="I52" s="131" t="s">
        <v>608</v>
      </c>
    </row>
    <row r="53" spans="2:9" s="144" customFormat="1">
      <c r="B53" s="147" t="s">
        <v>609</v>
      </c>
      <c r="C53" s="152">
        <f>(C43-C51)*C52</f>
        <v>45.872799999999998</v>
      </c>
      <c r="D53" s="131" t="s">
        <v>61</v>
      </c>
      <c r="E53" s="131"/>
      <c r="F53" s="131">
        <v>2021</v>
      </c>
      <c r="G53" s="131"/>
      <c r="H53" s="158" t="s">
        <v>52</v>
      </c>
      <c r="I53" s="131"/>
    </row>
    <row r="54" spans="2:9" s="144" customFormat="1">
      <c r="B54" s="147" t="s">
        <v>610</v>
      </c>
      <c r="C54" s="152">
        <f>SUM(C51,C53)</f>
        <v>46.872799999999998</v>
      </c>
      <c r="D54" s="131" t="s">
        <v>61</v>
      </c>
      <c r="E54" s="158" t="s">
        <v>52</v>
      </c>
      <c r="F54" s="158" t="s">
        <v>52</v>
      </c>
      <c r="G54" s="158" t="s">
        <v>52</v>
      </c>
      <c r="H54" s="158" t="s">
        <v>52</v>
      </c>
      <c r="I54" s="158" t="s">
        <v>52</v>
      </c>
    </row>
    <row r="55" spans="2:9" s="144" customFormat="1">
      <c r="B55" s="147" t="s">
        <v>611</v>
      </c>
      <c r="C55" s="157">
        <v>1.4279999999999999E-2</v>
      </c>
      <c r="D55" s="131" t="s">
        <v>612</v>
      </c>
      <c r="E55" s="158" t="s">
        <v>52</v>
      </c>
      <c r="F55" s="158">
        <v>2021</v>
      </c>
      <c r="G55" s="164" t="s">
        <v>613</v>
      </c>
      <c r="H55" s="158" t="s">
        <v>52</v>
      </c>
      <c r="I55" s="158"/>
    </row>
    <row r="56" spans="2:9" s="144" customFormat="1">
      <c r="B56" s="147" t="s">
        <v>614</v>
      </c>
      <c r="C56" s="184">
        <f>C55*C54*10^6</f>
        <v>669343.58399999992</v>
      </c>
      <c r="D56" s="131" t="s">
        <v>529</v>
      </c>
      <c r="E56" s="158" t="s">
        <v>52</v>
      </c>
      <c r="F56" s="158" t="s">
        <v>52</v>
      </c>
      <c r="G56" s="158" t="s">
        <v>52</v>
      </c>
      <c r="H56" s="131"/>
      <c r="I56" s="158"/>
    </row>
    <row r="57" spans="2:9" s="144" customFormat="1">
      <c r="B57" s="131" t="s">
        <v>615</v>
      </c>
      <c r="C57" s="131">
        <v>14</v>
      </c>
      <c r="D57" s="131" t="s">
        <v>43</v>
      </c>
      <c r="E57" s="158"/>
      <c r="F57" s="158"/>
      <c r="G57" s="158"/>
      <c r="H57" s="131"/>
      <c r="I57" s="158" t="s">
        <v>587</v>
      </c>
    </row>
    <row r="58" spans="2:9" s="144" customFormat="1">
      <c r="B58" s="131" t="s">
        <v>616</v>
      </c>
      <c r="C58" s="167">
        <v>0.32</v>
      </c>
      <c r="D58" s="131" t="s">
        <v>33</v>
      </c>
      <c r="E58" s="131" t="s">
        <v>51</v>
      </c>
      <c r="F58" s="131">
        <v>2020</v>
      </c>
      <c r="G58" s="164" t="s">
        <v>31</v>
      </c>
      <c r="H58" s="131" t="s">
        <v>447</v>
      </c>
      <c r="I58" s="131" t="s">
        <v>617</v>
      </c>
    </row>
    <row r="59" spans="2:9" s="144" customFormat="1">
      <c r="B59" s="149" t="s">
        <v>258</v>
      </c>
      <c r="C59" s="131">
        <v>1.95</v>
      </c>
      <c r="D59" s="131" t="s">
        <v>259</v>
      </c>
      <c r="E59" s="131" t="s">
        <v>260</v>
      </c>
      <c r="F59" s="131">
        <v>2021</v>
      </c>
      <c r="G59" s="51" t="s">
        <v>261</v>
      </c>
      <c r="H59" s="131" t="s">
        <v>262</v>
      </c>
      <c r="I59" s="131" t="s">
        <v>263</v>
      </c>
    </row>
    <row r="60" spans="2:9" s="144" customFormat="1">
      <c r="B60" s="168" t="s">
        <v>264</v>
      </c>
      <c r="C60" s="131" t="s">
        <v>52</v>
      </c>
      <c r="D60" s="131" t="s">
        <v>33</v>
      </c>
      <c r="E60" s="131" t="s">
        <v>51</v>
      </c>
      <c r="F60" s="131">
        <v>2022</v>
      </c>
      <c r="G60" s="51" t="s">
        <v>19</v>
      </c>
      <c r="H60" s="21" t="s">
        <v>265</v>
      </c>
      <c r="I60" s="131" t="s">
        <v>447</v>
      </c>
    </row>
    <row r="61" spans="2:9" s="144" customFormat="1">
      <c r="B61" s="147" t="s">
        <v>266</v>
      </c>
      <c r="C61" s="147">
        <v>4.5</v>
      </c>
      <c r="D61" s="131" t="s">
        <v>267</v>
      </c>
      <c r="E61" s="131" t="s">
        <v>268</v>
      </c>
      <c r="F61" s="131">
        <v>2020</v>
      </c>
      <c r="G61" s="164" t="s">
        <v>269</v>
      </c>
      <c r="H61" s="131" t="s">
        <v>270</v>
      </c>
      <c r="I61" s="131" t="s">
        <v>271</v>
      </c>
    </row>
    <row r="62" spans="2:9" s="144" customFormat="1" ht="16">
      <c r="B62" s="169" t="s">
        <v>618</v>
      </c>
      <c r="C62" s="95">
        <f>(C49+C57)*C59</f>
        <v>492.91786130136978</v>
      </c>
      <c r="D62" s="131" t="s">
        <v>53</v>
      </c>
      <c r="E62" s="158"/>
      <c r="F62" s="158"/>
      <c r="G62" s="158"/>
      <c r="H62" s="131"/>
      <c r="I62" s="158"/>
    </row>
    <row r="63" spans="2:9" s="144" customFormat="1">
      <c r="B63" s="147"/>
      <c r="C63" s="147"/>
      <c r="D63" s="131"/>
      <c r="E63" s="131"/>
      <c r="F63" s="131"/>
      <c r="G63" s="131"/>
      <c r="H63" s="131"/>
      <c r="I63" s="131"/>
    </row>
    <row r="64" spans="2:9" s="144" customFormat="1">
      <c r="B64" s="162" t="s">
        <v>274</v>
      </c>
      <c r="C64" s="162"/>
      <c r="D64" s="131"/>
      <c r="E64" s="131"/>
      <c r="F64" s="131"/>
      <c r="G64" s="131"/>
      <c r="H64" s="131"/>
      <c r="I64" s="131"/>
    </row>
    <row r="65" spans="2:9" s="144" customFormat="1">
      <c r="B65" s="168" t="s">
        <v>619</v>
      </c>
      <c r="C65" s="197">
        <v>1110702</v>
      </c>
      <c r="D65" s="149" t="s">
        <v>620</v>
      </c>
      <c r="E65" s="149" t="s">
        <v>497</v>
      </c>
      <c r="F65" s="131">
        <v>2021</v>
      </c>
      <c r="G65" s="163" t="s">
        <v>621</v>
      </c>
      <c r="H65" s="158" t="s">
        <v>52</v>
      </c>
      <c r="I65" s="149" t="s">
        <v>622</v>
      </c>
    </row>
    <row r="66" spans="2:9" s="144" customFormat="1">
      <c r="B66" s="168" t="s">
        <v>623</v>
      </c>
      <c r="C66" s="171">
        <f>C65/120/1000</f>
        <v>9.2558500000000006</v>
      </c>
      <c r="D66" s="149" t="s">
        <v>44</v>
      </c>
      <c r="E66" s="149"/>
      <c r="F66" s="131"/>
      <c r="G66" s="158" t="s">
        <v>52</v>
      </c>
      <c r="H66" s="158" t="s">
        <v>52</v>
      </c>
      <c r="I66" s="149" t="s">
        <v>276</v>
      </c>
    </row>
    <row r="67" spans="2:9" s="144" customFormat="1">
      <c r="B67" s="147" t="s">
        <v>624</v>
      </c>
      <c r="C67" s="112">
        <f>C66/93%</f>
        <v>9.9525268817204307</v>
      </c>
      <c r="D67" s="131" t="s">
        <v>44</v>
      </c>
      <c r="E67" s="149"/>
      <c r="F67" s="131"/>
      <c r="G67" s="158"/>
      <c r="H67" s="158"/>
      <c r="I67" s="131"/>
    </row>
    <row r="68" spans="2:9" s="144" customFormat="1" ht="16" customHeight="1">
      <c r="B68" s="169" t="s">
        <v>280</v>
      </c>
      <c r="C68" s="104">
        <f>C67*C70</f>
        <v>119.43032258064517</v>
      </c>
      <c r="D68" s="131" t="s">
        <v>53</v>
      </c>
      <c r="E68" s="149"/>
      <c r="F68" s="131"/>
      <c r="G68" s="158"/>
      <c r="H68" s="158"/>
      <c r="I68" s="131"/>
    </row>
    <row r="69" spans="2:9" s="144" customFormat="1" ht="16">
      <c r="B69" s="169" t="s">
        <v>282</v>
      </c>
      <c r="C69" s="104">
        <f>C67*C71</f>
        <v>39.810107526881723</v>
      </c>
      <c r="D69" s="131" t="s">
        <v>53</v>
      </c>
      <c r="E69" s="149"/>
      <c r="F69" s="131"/>
      <c r="G69" s="158"/>
      <c r="H69" s="158"/>
      <c r="I69" s="131"/>
    </row>
    <row r="70" spans="2:9" s="144" customFormat="1">
      <c r="B70" s="168" t="s">
        <v>283</v>
      </c>
      <c r="C70" s="171">
        <v>12</v>
      </c>
      <c r="D70" s="171" t="s">
        <v>284</v>
      </c>
      <c r="E70" s="171" t="s">
        <v>285</v>
      </c>
      <c r="F70" s="131">
        <v>2023</v>
      </c>
      <c r="G70" s="171" t="s">
        <v>52</v>
      </c>
      <c r="H70" s="171" t="s">
        <v>52</v>
      </c>
      <c r="I70" s="171" t="s">
        <v>286</v>
      </c>
    </row>
    <row r="71" spans="2:9" s="144" customFormat="1">
      <c r="B71" s="168" t="s">
        <v>287</v>
      </c>
      <c r="C71" s="171">
        <v>4</v>
      </c>
      <c r="D71" s="171" t="s">
        <v>284</v>
      </c>
      <c r="E71" s="171" t="s">
        <v>285</v>
      </c>
      <c r="F71" s="131">
        <v>2023</v>
      </c>
      <c r="G71" s="171" t="s">
        <v>52</v>
      </c>
      <c r="H71" s="171" t="s">
        <v>52</v>
      </c>
      <c r="I71" s="171" t="s">
        <v>286</v>
      </c>
    </row>
    <row r="72" spans="2:9" s="144" customFormat="1">
      <c r="B72" s="131"/>
      <c r="C72" s="131"/>
      <c r="D72" s="131"/>
      <c r="E72" s="131"/>
      <c r="F72" s="131"/>
      <c r="G72" s="131"/>
      <c r="H72" s="131"/>
      <c r="I72" s="131"/>
    </row>
    <row r="73" spans="2:9" s="144" customFormat="1">
      <c r="B73" s="162" t="s">
        <v>625</v>
      </c>
      <c r="C73" s="162"/>
      <c r="D73" s="131"/>
      <c r="E73" s="131"/>
      <c r="F73" s="131"/>
      <c r="G73" s="131"/>
      <c r="H73" s="131"/>
      <c r="I73" s="131"/>
    </row>
    <row r="74" spans="2:9" s="144" customFormat="1">
      <c r="B74" s="162" t="s">
        <v>106</v>
      </c>
      <c r="C74" s="209">
        <f>90%*9%*C75</f>
        <v>88.29</v>
      </c>
      <c r="D74" s="131" t="s">
        <v>44</v>
      </c>
      <c r="E74" s="158" t="s">
        <v>52</v>
      </c>
      <c r="F74" s="158" t="s">
        <v>52</v>
      </c>
      <c r="G74" s="158" t="s">
        <v>52</v>
      </c>
      <c r="H74" s="158" t="s">
        <v>52</v>
      </c>
      <c r="I74" s="131" t="s">
        <v>626</v>
      </c>
    </row>
    <row r="75" spans="2:9" s="144" customFormat="1">
      <c r="B75" s="147" t="s">
        <v>627</v>
      </c>
      <c r="C75" s="147">
        <v>1090</v>
      </c>
      <c r="D75" s="131" t="s">
        <v>44</v>
      </c>
      <c r="E75" s="158" t="s">
        <v>497</v>
      </c>
      <c r="F75" s="158">
        <v>2021</v>
      </c>
      <c r="G75" s="163" t="s">
        <v>628</v>
      </c>
      <c r="H75" s="158" t="s">
        <v>52</v>
      </c>
      <c r="I75" s="158" t="s">
        <v>629</v>
      </c>
    </row>
    <row r="76" spans="2:9" s="144" customFormat="1" ht="16">
      <c r="B76" s="172" t="s">
        <v>631</v>
      </c>
      <c r="C76" s="95">
        <f>C74*C79/1000</f>
        <v>7.063200000000001</v>
      </c>
      <c r="D76" s="131" t="s">
        <v>295</v>
      </c>
      <c r="E76" s="158" t="s">
        <v>52</v>
      </c>
      <c r="F76" s="158" t="s">
        <v>52</v>
      </c>
      <c r="G76" s="158" t="s">
        <v>52</v>
      </c>
      <c r="H76" s="158" t="s">
        <v>52</v>
      </c>
      <c r="I76" s="158" t="s">
        <v>52</v>
      </c>
    </row>
    <row r="77" spans="2:9" s="144" customFormat="1" ht="16">
      <c r="B77" s="172" t="s">
        <v>630</v>
      </c>
      <c r="C77" s="95">
        <f>C74*C78/1000</f>
        <v>15.450750000000001</v>
      </c>
      <c r="D77" s="131" t="s">
        <v>295</v>
      </c>
      <c r="E77" s="158" t="s">
        <v>52</v>
      </c>
      <c r="F77" s="158" t="s">
        <v>52</v>
      </c>
      <c r="G77" s="158" t="s">
        <v>52</v>
      </c>
      <c r="H77" s="158" t="s">
        <v>52</v>
      </c>
      <c r="I77" s="158" t="s">
        <v>52</v>
      </c>
    </row>
    <row r="78" spans="2:9" s="144" customFormat="1">
      <c r="B78" s="147" t="s">
        <v>1495</v>
      </c>
      <c r="C78" s="131">
        <v>175</v>
      </c>
      <c r="D78" s="131" t="s">
        <v>297</v>
      </c>
      <c r="E78" s="131" t="s">
        <v>298</v>
      </c>
      <c r="F78" s="131"/>
      <c r="G78" s="173" t="s">
        <v>457</v>
      </c>
      <c r="H78" s="131"/>
      <c r="I78" s="131" t="s">
        <v>458</v>
      </c>
    </row>
    <row r="79" spans="2:9" s="144" customFormat="1">
      <c r="B79" s="147" t="s">
        <v>1494</v>
      </c>
      <c r="C79" s="153">
        <v>80</v>
      </c>
      <c r="D79" s="131" t="s">
        <v>297</v>
      </c>
      <c r="E79" s="131" t="s">
        <v>298</v>
      </c>
      <c r="F79" s="131"/>
      <c r="G79" s="131" t="s">
        <v>129</v>
      </c>
      <c r="H79" s="131"/>
      <c r="I79" s="131" t="s">
        <v>460</v>
      </c>
    </row>
    <row r="80" spans="2:9" s="144" customFormat="1">
      <c r="B80" s="131"/>
      <c r="C80" s="131"/>
      <c r="D80" s="131"/>
      <c r="E80" s="131"/>
      <c r="F80" s="131"/>
      <c r="G80" s="131"/>
      <c r="H80" s="131"/>
      <c r="I80" s="131"/>
    </row>
    <row r="81" spans="1:10">
      <c r="A81" s="161">
        <v>3</v>
      </c>
      <c r="B81" s="53" t="s">
        <v>62</v>
      </c>
      <c r="C81" s="53"/>
      <c r="D81" s="35"/>
      <c r="E81" s="35"/>
      <c r="F81" s="35"/>
      <c r="G81" s="35"/>
      <c r="H81" s="35"/>
      <c r="I81" s="35"/>
    </row>
    <row r="82" spans="1:10">
      <c r="B82" s="24" t="s">
        <v>47</v>
      </c>
      <c r="C82" s="24"/>
      <c r="D82" s="24" t="s">
        <v>49</v>
      </c>
      <c r="E82" s="24" t="s">
        <v>28</v>
      </c>
      <c r="F82" s="24" t="s">
        <v>50</v>
      </c>
      <c r="G82" s="24" t="s">
        <v>29</v>
      </c>
      <c r="H82" s="24" t="s">
        <v>122</v>
      </c>
      <c r="I82" s="24" t="s">
        <v>123</v>
      </c>
    </row>
    <row r="83" spans="1:10" s="144" customFormat="1">
      <c r="B83" s="131"/>
      <c r="C83" s="131"/>
      <c r="D83" s="131"/>
      <c r="E83" s="131"/>
      <c r="F83" s="131"/>
      <c r="G83" s="131"/>
      <c r="H83" s="131"/>
      <c r="I83" s="131"/>
    </row>
    <row r="84" spans="1:10" s="144" customFormat="1">
      <c r="B84" s="131" t="s">
        <v>632</v>
      </c>
      <c r="C84" s="131">
        <v>0</v>
      </c>
      <c r="D84" s="131"/>
      <c r="E84" s="131" t="s">
        <v>151</v>
      </c>
      <c r="F84" s="131">
        <v>2020</v>
      </c>
      <c r="G84" s="164" t="s">
        <v>510</v>
      </c>
      <c r="H84" s="131"/>
      <c r="I84" s="131" t="s">
        <v>633</v>
      </c>
    </row>
    <row r="85" spans="1:10" s="144" customFormat="1">
      <c r="B85" s="131" t="s">
        <v>634</v>
      </c>
      <c r="C85" s="96">
        <v>0.38</v>
      </c>
      <c r="D85" s="131"/>
      <c r="E85" s="131"/>
      <c r="F85" s="131"/>
      <c r="G85" s="131" t="s">
        <v>587</v>
      </c>
      <c r="H85" s="131"/>
      <c r="I85" s="131"/>
    </row>
    <row r="86" spans="1:10" s="144" customFormat="1">
      <c r="B86" s="131" t="s">
        <v>467</v>
      </c>
      <c r="C86" s="131">
        <v>2706</v>
      </c>
      <c r="D86" s="131" t="s">
        <v>463</v>
      </c>
      <c r="E86" s="131" t="s">
        <v>635</v>
      </c>
      <c r="F86" s="131">
        <v>2022</v>
      </c>
      <c r="G86" s="164" t="s">
        <v>636</v>
      </c>
      <c r="H86" s="131"/>
      <c r="I86" s="131" t="s">
        <v>637</v>
      </c>
    </row>
    <row r="87" spans="1:10" s="144" customFormat="1">
      <c r="B87" s="131" t="s">
        <v>56</v>
      </c>
      <c r="C87" s="131">
        <v>68.400000000000006</v>
      </c>
      <c r="D87" s="131" t="s">
        <v>61</v>
      </c>
      <c r="E87" s="131"/>
      <c r="F87" s="131">
        <v>2022</v>
      </c>
      <c r="G87" s="164" t="s">
        <v>504</v>
      </c>
      <c r="H87" s="131"/>
      <c r="I87" s="131"/>
    </row>
    <row r="88" spans="1:10" s="144" customFormat="1">
      <c r="B88" s="131" t="s">
        <v>469</v>
      </c>
      <c r="C88" s="149">
        <f>C87*C86/1000</f>
        <v>185.09040000000002</v>
      </c>
      <c r="D88" s="131" t="s">
        <v>295</v>
      </c>
      <c r="E88" s="158" t="s">
        <v>52</v>
      </c>
      <c r="F88" s="158" t="s">
        <v>52</v>
      </c>
      <c r="G88" s="158" t="s">
        <v>52</v>
      </c>
      <c r="H88" s="158" t="s">
        <v>52</v>
      </c>
      <c r="I88" s="158" t="s">
        <v>638</v>
      </c>
      <c r="J88" s="174" t="e">
        <f>#REF!/1000</f>
        <v>#REF!</v>
      </c>
    </row>
    <row r="89" spans="1:10" s="144" customFormat="1">
      <c r="B89" s="131" t="s">
        <v>639</v>
      </c>
      <c r="C89" s="149">
        <f>C85*C86</f>
        <v>1028.28</v>
      </c>
      <c r="D89" s="131" t="s">
        <v>640</v>
      </c>
      <c r="E89" s="158" t="s">
        <v>52</v>
      </c>
      <c r="F89" s="158" t="s">
        <v>52</v>
      </c>
      <c r="G89" s="158" t="s">
        <v>52</v>
      </c>
      <c r="H89" s="158" t="s">
        <v>52</v>
      </c>
      <c r="I89" s="158" t="s">
        <v>52</v>
      </c>
      <c r="J89" s="174" t="e">
        <f>J88*#REF!</f>
        <v>#REF!</v>
      </c>
    </row>
    <row r="90" spans="1:10" s="144" customFormat="1">
      <c r="B90" s="131"/>
      <c r="C90" s="131"/>
      <c r="D90" s="131"/>
      <c r="E90" s="131"/>
      <c r="F90" s="131"/>
      <c r="G90" s="131"/>
      <c r="H90" s="131"/>
      <c r="I90" s="131"/>
      <c r="J90" s="174"/>
    </row>
    <row r="91" spans="1:10" s="144" customFormat="1">
      <c r="B91" s="162" t="s">
        <v>641</v>
      </c>
      <c r="C91" s="97">
        <f>C93*C89/1000/C92</f>
        <v>4.8666761323299728E-3</v>
      </c>
      <c r="D91" s="131"/>
      <c r="E91" s="158" t="s">
        <v>52</v>
      </c>
      <c r="F91" s="158" t="s">
        <v>52</v>
      </c>
      <c r="G91" s="158" t="s">
        <v>52</v>
      </c>
      <c r="H91" s="158" t="s">
        <v>52</v>
      </c>
      <c r="I91" s="158"/>
    </row>
    <row r="92" spans="1:10" s="144" customFormat="1">
      <c r="B92" s="147" t="s">
        <v>642</v>
      </c>
      <c r="C92" s="175">
        <v>42258</v>
      </c>
      <c r="D92" s="131" t="s">
        <v>328</v>
      </c>
      <c r="E92" s="131"/>
      <c r="F92" s="131"/>
      <c r="G92" s="131"/>
      <c r="H92" s="131"/>
      <c r="I92" s="131"/>
    </row>
    <row r="93" spans="1:10" s="144" customFormat="1">
      <c r="B93" s="147" t="s">
        <v>643</v>
      </c>
      <c r="C93" s="147">
        <v>200</v>
      </c>
      <c r="D93" s="131" t="s">
        <v>644</v>
      </c>
      <c r="E93" s="131"/>
      <c r="F93" s="131"/>
      <c r="G93" s="164" t="s">
        <v>645</v>
      </c>
      <c r="H93" s="131"/>
      <c r="I93" s="131"/>
    </row>
    <row r="94" spans="1:10" s="144" customFormat="1">
      <c r="B94" s="147" t="s">
        <v>646</v>
      </c>
      <c r="C94" s="149">
        <f>C89/1000*C93</f>
        <v>205.65600000000001</v>
      </c>
      <c r="D94" s="131" t="s">
        <v>328</v>
      </c>
      <c r="E94" s="176"/>
      <c r="F94" s="131"/>
      <c r="G94" s="131"/>
      <c r="H94" s="131"/>
      <c r="I94" s="131"/>
    </row>
    <row r="95" spans="1:10" s="144" customFormat="1">
      <c r="B95" s="131"/>
      <c r="C95" s="131"/>
      <c r="D95" s="131"/>
      <c r="E95" s="131"/>
      <c r="F95" s="131"/>
      <c r="G95" s="131"/>
      <c r="H95" s="131"/>
      <c r="I95" s="131"/>
    </row>
    <row r="96" spans="1:10" s="144" customFormat="1">
      <c r="B96" s="162" t="s">
        <v>641</v>
      </c>
      <c r="C96" s="165">
        <f>C98*C89/1000/1000/C97</f>
        <v>2.2034571428571428E-2</v>
      </c>
      <c r="D96" s="131"/>
      <c r="E96" s="158" t="s">
        <v>52</v>
      </c>
      <c r="F96" s="158" t="s">
        <v>52</v>
      </c>
      <c r="G96" s="158" t="s">
        <v>52</v>
      </c>
      <c r="H96" s="158" t="s">
        <v>52</v>
      </c>
      <c r="I96" s="158" t="s">
        <v>52</v>
      </c>
    </row>
    <row r="97" spans="1:9" s="144" customFormat="1">
      <c r="B97" s="147" t="s">
        <v>647</v>
      </c>
      <c r="C97" s="147">
        <v>0.7</v>
      </c>
      <c r="D97" s="131" t="s">
        <v>328</v>
      </c>
      <c r="E97" s="158" t="s">
        <v>52</v>
      </c>
      <c r="F97" s="158" t="s">
        <v>52</v>
      </c>
      <c r="G97" s="163" t="s">
        <v>648</v>
      </c>
      <c r="H97" s="158" t="s">
        <v>52</v>
      </c>
      <c r="I97" s="158" t="s">
        <v>649</v>
      </c>
    </row>
    <row r="98" spans="1:9" s="144" customFormat="1">
      <c r="B98" s="147" t="s">
        <v>650</v>
      </c>
      <c r="C98" s="131">
        <v>15</v>
      </c>
      <c r="D98" s="131" t="s">
        <v>651</v>
      </c>
      <c r="E98" s="131" t="s">
        <v>652</v>
      </c>
      <c r="F98" s="158" t="s">
        <v>52</v>
      </c>
      <c r="G98" s="164" t="s">
        <v>653</v>
      </c>
      <c r="H98" s="131"/>
      <c r="I98" s="131"/>
    </row>
    <row r="99" spans="1:9" s="144" customFormat="1">
      <c r="B99" s="147" t="s">
        <v>646</v>
      </c>
      <c r="C99" s="157">
        <f>C89/1000000*C98</f>
        <v>1.5424199999999999E-2</v>
      </c>
      <c r="D99" s="131" t="s">
        <v>328</v>
      </c>
      <c r="E99" s="165"/>
      <c r="F99" s="158"/>
      <c r="G99" s="164"/>
      <c r="H99" s="131"/>
      <c r="I99" s="131"/>
    </row>
    <row r="100" spans="1:9" s="144" customFormat="1">
      <c r="B100" s="131"/>
      <c r="C100" s="131"/>
      <c r="D100" s="131"/>
      <c r="E100" s="131"/>
      <c r="F100" s="131"/>
      <c r="G100" s="131"/>
      <c r="H100" s="131"/>
      <c r="I100" s="131"/>
    </row>
    <row r="101" spans="1:9">
      <c r="A101" s="161">
        <v>4</v>
      </c>
      <c r="B101" s="53" t="s">
        <v>70</v>
      </c>
      <c r="C101" s="53"/>
      <c r="D101" s="35"/>
      <c r="E101" s="35"/>
      <c r="F101" s="35"/>
      <c r="G101" s="35"/>
      <c r="H101" s="35"/>
      <c r="I101" s="35"/>
    </row>
    <row r="102" spans="1:9">
      <c r="B102" s="24" t="s">
        <v>47</v>
      </c>
      <c r="C102" s="24"/>
      <c r="D102" s="24" t="s">
        <v>49</v>
      </c>
      <c r="E102" s="24" t="s">
        <v>28</v>
      </c>
      <c r="F102" s="24" t="s">
        <v>50</v>
      </c>
      <c r="G102" s="24" t="s">
        <v>29</v>
      </c>
      <c r="H102" s="24" t="s">
        <v>122</v>
      </c>
      <c r="I102" s="24" t="s">
        <v>123</v>
      </c>
    </row>
    <row r="103" spans="1:9" s="144" customFormat="1">
      <c r="B103" s="131"/>
      <c r="C103" s="131"/>
      <c r="D103" s="131"/>
      <c r="E103" s="131"/>
      <c r="F103" s="131"/>
      <c r="G103" s="131"/>
      <c r="H103" s="131"/>
      <c r="I103" s="131"/>
    </row>
    <row r="104" spans="1:9" s="144" customFormat="1">
      <c r="B104" s="162" t="s">
        <v>482</v>
      </c>
      <c r="C104" s="162"/>
      <c r="D104" s="131"/>
      <c r="E104" s="131"/>
      <c r="F104" s="131"/>
      <c r="G104" s="131"/>
      <c r="H104" s="131"/>
      <c r="I104" s="131"/>
    </row>
    <row r="105" spans="1:9" s="144" customFormat="1">
      <c r="B105" s="147" t="s">
        <v>662</v>
      </c>
      <c r="C105" s="147">
        <v>0</v>
      </c>
      <c r="D105" s="131" t="s">
        <v>61</v>
      </c>
      <c r="E105" s="131"/>
      <c r="F105" s="131"/>
      <c r="G105" s="131"/>
      <c r="H105" s="131"/>
      <c r="I105" s="158" t="s">
        <v>663</v>
      </c>
    </row>
    <row r="106" spans="1:9" s="144" customFormat="1">
      <c r="B106" s="162" t="s">
        <v>487</v>
      </c>
      <c r="C106" s="162"/>
      <c r="D106" s="131"/>
      <c r="E106" s="131"/>
      <c r="F106" s="131"/>
      <c r="G106" s="131"/>
      <c r="H106" s="131"/>
      <c r="I106" s="131"/>
    </row>
    <row r="107" spans="1:9" s="144" customFormat="1">
      <c r="B107" s="147" t="s">
        <v>662</v>
      </c>
      <c r="C107" s="147">
        <v>68.5</v>
      </c>
      <c r="D107" s="131" t="s">
        <v>61</v>
      </c>
      <c r="E107" s="131"/>
      <c r="F107" s="131"/>
      <c r="G107" s="131"/>
      <c r="H107" s="131"/>
      <c r="I107" s="158" t="s">
        <v>663</v>
      </c>
    </row>
    <row r="108" spans="1:9" s="144" customFormat="1" ht="15" hidden="1" customHeight="1">
      <c r="B108" s="147" t="s">
        <v>664</v>
      </c>
      <c r="C108" s="152">
        <f>C49*56%</f>
        <v>133.71589863013699</v>
      </c>
      <c r="D108" s="158" t="s">
        <v>43</v>
      </c>
      <c r="E108" s="158"/>
      <c r="F108" s="158"/>
      <c r="G108" s="158"/>
      <c r="H108" s="158"/>
      <c r="I108" s="158"/>
    </row>
    <row r="109" spans="1:9" s="144" customFormat="1" ht="15" customHeight="1">
      <c r="B109" s="162" t="s">
        <v>350</v>
      </c>
      <c r="C109" s="162"/>
      <c r="D109" s="131"/>
      <c r="E109" s="131"/>
      <c r="F109" s="131"/>
      <c r="G109" s="131"/>
      <c r="H109" s="131"/>
      <c r="I109" s="131"/>
    </row>
    <row r="110" spans="1:9" s="144" customFormat="1">
      <c r="B110" s="147" t="s">
        <v>665</v>
      </c>
      <c r="C110" s="147">
        <v>3</v>
      </c>
      <c r="D110" s="158" t="s">
        <v>666</v>
      </c>
      <c r="E110" s="131" t="s">
        <v>667</v>
      </c>
      <c r="F110" s="131">
        <v>2023</v>
      </c>
      <c r="G110" s="163" t="s">
        <v>667</v>
      </c>
      <c r="H110" s="158" t="s">
        <v>668</v>
      </c>
      <c r="I110" s="158"/>
    </row>
    <row r="111" spans="1:9" s="144" customFormat="1" hidden="1">
      <c r="B111" s="147" t="s">
        <v>669</v>
      </c>
      <c r="C111" s="147">
        <v>1.7749999999999999</v>
      </c>
      <c r="D111" s="158" t="s">
        <v>670</v>
      </c>
      <c r="E111" s="131"/>
      <c r="F111" s="131"/>
      <c r="G111" s="163"/>
      <c r="H111" s="158"/>
      <c r="I111" s="158"/>
    </row>
    <row r="112" spans="1:9" s="144" customFormat="1">
      <c r="B112" s="147" t="s">
        <v>671</v>
      </c>
      <c r="C112" s="210">
        <f>C107*C110</f>
        <v>205.5</v>
      </c>
      <c r="D112" s="158" t="s">
        <v>672</v>
      </c>
      <c r="E112" s="131"/>
      <c r="F112" s="131"/>
      <c r="G112" s="163"/>
      <c r="H112" s="158"/>
      <c r="I112" s="158"/>
    </row>
    <row r="113" spans="1:76" s="144" customFormat="1" hidden="1">
      <c r="B113" s="147" t="s">
        <v>673</v>
      </c>
      <c r="C113" s="149">
        <f>C108*C111</f>
        <v>237.34572006849314</v>
      </c>
      <c r="D113" s="158" t="s">
        <v>672</v>
      </c>
      <c r="E113" s="131"/>
      <c r="F113" s="131"/>
      <c r="G113" s="131"/>
      <c r="H113" s="131"/>
      <c r="I113" s="131"/>
    </row>
    <row r="114" spans="1:76" s="144" customFormat="1">
      <c r="B114" s="131"/>
      <c r="C114" s="149"/>
      <c r="D114" s="131"/>
      <c r="E114" s="131"/>
      <c r="F114" s="131"/>
      <c r="G114" s="131"/>
      <c r="H114" s="131"/>
      <c r="I114" s="131"/>
    </row>
    <row r="115" spans="1:76" s="144" customFormat="1">
      <c r="B115" s="162" t="s">
        <v>356</v>
      </c>
      <c r="C115" s="162"/>
      <c r="D115" s="131"/>
      <c r="E115" s="131"/>
      <c r="F115" s="131"/>
      <c r="G115" s="131"/>
      <c r="H115" s="131"/>
      <c r="I115" s="131"/>
    </row>
    <row r="116" spans="1:76" s="144" customFormat="1">
      <c r="B116" s="131" t="s">
        <v>54</v>
      </c>
      <c r="C116" s="93">
        <v>20</v>
      </c>
      <c r="D116" s="131" t="s">
        <v>53</v>
      </c>
      <c r="E116" s="131" t="s">
        <v>357</v>
      </c>
      <c r="F116" s="131">
        <v>2022</v>
      </c>
      <c r="G116" s="131"/>
      <c r="H116" s="131"/>
      <c r="I116" s="131" t="s">
        <v>358</v>
      </c>
    </row>
    <row r="117" spans="1:76" s="144" customFormat="1">
      <c r="B117" s="131" t="s">
        <v>359</v>
      </c>
      <c r="C117" s="96">
        <v>0.08</v>
      </c>
      <c r="D117" s="131" t="s">
        <v>33</v>
      </c>
      <c r="E117" s="131" t="s">
        <v>357</v>
      </c>
      <c r="F117" s="131">
        <v>2022</v>
      </c>
      <c r="G117" s="131"/>
      <c r="H117" s="131"/>
      <c r="I117" s="131"/>
    </row>
    <row r="118" spans="1:76" s="144" customFormat="1">
      <c r="B118" s="147" t="s">
        <v>363</v>
      </c>
      <c r="C118" s="199">
        <v>8.9499999999999996E-2</v>
      </c>
      <c r="D118" s="131" t="s">
        <v>33</v>
      </c>
      <c r="E118" s="131"/>
      <c r="F118" s="131">
        <v>2020</v>
      </c>
      <c r="G118" s="164" t="s">
        <v>493</v>
      </c>
      <c r="H118" s="158" t="s">
        <v>366</v>
      </c>
      <c r="I118" s="131" t="s">
        <v>675</v>
      </c>
      <c r="J118" s="131"/>
      <c r="K118" s="131"/>
    </row>
    <row r="119" spans="1:76">
      <c r="A119"/>
      <c r="B119" s="194" t="s">
        <v>1484</v>
      </c>
      <c r="E119" s="27"/>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row>
    <row r="120" spans="1:76">
      <c r="A120"/>
      <c r="B120" s="20" t="s">
        <v>1485</v>
      </c>
      <c r="C120" s="101">
        <v>0</v>
      </c>
      <c r="D120" s="21" t="s">
        <v>33</v>
      </c>
      <c r="E120" s="21" t="s">
        <v>1490</v>
      </c>
      <c r="F120" s="21">
        <v>2023</v>
      </c>
      <c r="G120" s="60" t="s">
        <v>1491</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row>
    <row r="121" spans="1:76">
      <c r="A121"/>
      <c r="B121" s="20" t="s">
        <v>1486</v>
      </c>
      <c r="C121" s="101">
        <v>0.20799999999999999</v>
      </c>
      <c r="D121" s="21" t="s">
        <v>33</v>
      </c>
      <c r="E121" s="21" t="s">
        <v>1490</v>
      </c>
      <c r="F121" s="21">
        <v>2023</v>
      </c>
      <c r="G121" s="60" t="s">
        <v>1491</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row>
    <row r="122" spans="1:76">
      <c r="A122"/>
      <c r="B122" s="20" t="s">
        <v>1487</v>
      </c>
      <c r="C122" s="101">
        <v>8.3000000000000004E-2</v>
      </c>
      <c r="D122" s="21" t="s">
        <v>33</v>
      </c>
      <c r="E122" s="21" t="s">
        <v>1490</v>
      </c>
      <c r="F122" s="21">
        <v>2023</v>
      </c>
      <c r="G122" s="60" t="s">
        <v>1491</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row>
    <row r="123" spans="1:76">
      <c r="A123"/>
      <c r="B123" s="20" t="s">
        <v>1488</v>
      </c>
      <c r="C123" s="101">
        <v>0.375</v>
      </c>
      <c r="D123" s="21" t="s">
        <v>33</v>
      </c>
      <c r="E123" s="21" t="s">
        <v>1490</v>
      </c>
      <c r="F123" s="21">
        <v>2023</v>
      </c>
      <c r="G123" s="60" t="s">
        <v>1491</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row>
    <row r="124" spans="1:76">
      <c r="A124"/>
      <c r="B124" s="20" t="s">
        <v>1489</v>
      </c>
      <c r="C124" s="101">
        <v>0.114</v>
      </c>
      <c r="D124" s="21" t="s">
        <v>33</v>
      </c>
      <c r="E124" s="21" t="s">
        <v>1490</v>
      </c>
      <c r="F124" s="21">
        <v>2023</v>
      </c>
      <c r="G124" s="60" t="s">
        <v>1491</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row>
    <row r="125" spans="1:76" s="144" customFormat="1">
      <c r="B125" s="131"/>
      <c r="C125" s="131"/>
      <c r="D125" s="131"/>
      <c r="E125" s="131"/>
      <c r="F125" s="131"/>
      <c r="G125" s="131"/>
      <c r="H125" s="131"/>
      <c r="I125" s="131"/>
    </row>
    <row r="126" spans="1:76" s="18" customFormat="1">
      <c r="A126" s="144"/>
      <c r="B126" s="53" t="s">
        <v>370</v>
      </c>
      <c r="C126" s="53"/>
      <c r="D126" s="35"/>
      <c r="E126" s="35"/>
      <c r="F126" s="35"/>
      <c r="G126" s="35"/>
      <c r="H126" s="35"/>
      <c r="I126" s="35"/>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row>
    <row r="127" spans="1:76">
      <c r="B127" s="131"/>
      <c r="C127" s="131"/>
      <c r="D127" s="131"/>
      <c r="E127" s="131"/>
      <c r="F127" s="131"/>
      <c r="G127" s="131"/>
      <c r="H127" s="131"/>
      <c r="I127" s="131"/>
    </row>
    <row r="128" spans="1:76">
      <c r="B128" s="131"/>
      <c r="C128" s="131"/>
      <c r="D128" s="131"/>
      <c r="E128" s="131"/>
      <c r="F128" s="131"/>
      <c r="G128" s="131"/>
      <c r="H128" s="131"/>
      <c r="I128" s="131"/>
    </row>
    <row r="129" spans="2:9">
      <c r="B129" s="131"/>
      <c r="C129" s="131"/>
      <c r="D129" s="131"/>
      <c r="E129" s="131"/>
      <c r="F129" s="131"/>
      <c r="G129" s="131"/>
      <c r="H129" s="131"/>
      <c r="I129" s="131"/>
    </row>
    <row r="130" spans="2:9">
      <c r="B130" s="131"/>
      <c r="C130" s="131"/>
      <c r="D130" s="131"/>
      <c r="E130" s="131"/>
      <c r="F130" s="131"/>
      <c r="G130" s="131"/>
      <c r="H130" s="131"/>
      <c r="I130" s="131"/>
    </row>
    <row r="131" spans="2:9">
      <c r="B131" s="131"/>
      <c r="C131" s="131"/>
      <c r="D131" s="131"/>
      <c r="E131" s="131"/>
      <c r="F131" s="131"/>
      <c r="G131" s="131"/>
      <c r="H131" s="131"/>
      <c r="I131" s="131"/>
    </row>
    <row r="132" spans="2:9">
      <c r="B132" s="131"/>
      <c r="C132" s="131"/>
      <c r="D132" s="131"/>
      <c r="E132" s="131"/>
      <c r="F132" s="131"/>
      <c r="G132" s="131"/>
      <c r="H132" s="131"/>
      <c r="I132" s="131"/>
    </row>
    <row r="133" spans="2:9">
      <c r="B133" s="131"/>
      <c r="C133" s="131"/>
      <c r="D133" s="131"/>
      <c r="E133" s="131"/>
      <c r="F133" s="131"/>
      <c r="G133" s="131"/>
      <c r="H133" s="131"/>
      <c r="I133" s="131"/>
    </row>
    <row r="134" spans="2:9">
      <c r="B134" s="131"/>
      <c r="C134" s="131"/>
      <c r="D134" s="131"/>
      <c r="E134" s="131"/>
      <c r="F134" s="131"/>
      <c r="G134" s="131"/>
      <c r="H134" s="131"/>
      <c r="I134" s="131"/>
    </row>
    <row r="135" spans="2:9">
      <c r="B135" s="131"/>
      <c r="C135" s="131"/>
      <c r="D135" s="131"/>
      <c r="E135" s="131"/>
      <c r="F135" s="131"/>
      <c r="G135" s="131"/>
      <c r="H135" s="131"/>
      <c r="I135" s="131"/>
    </row>
    <row r="136" spans="2:9">
      <c r="B136" s="131"/>
      <c r="C136" s="131"/>
      <c r="D136" s="131"/>
      <c r="E136" s="131"/>
      <c r="F136" s="131"/>
      <c r="G136" s="131"/>
      <c r="H136" s="131"/>
      <c r="I136" s="131"/>
    </row>
    <row r="137" spans="2:9">
      <c r="B137" s="131"/>
      <c r="C137" s="131"/>
      <c r="D137" s="131"/>
      <c r="E137" s="131"/>
      <c r="F137" s="131"/>
      <c r="G137" s="131"/>
      <c r="H137" s="131"/>
      <c r="I137" s="131"/>
    </row>
    <row r="138" spans="2:9">
      <c r="B138" s="131"/>
      <c r="C138" s="131"/>
      <c r="D138" s="131"/>
      <c r="E138" s="131"/>
      <c r="F138" s="131"/>
      <c r="G138" s="131"/>
      <c r="H138" s="131"/>
      <c r="I138" s="131"/>
    </row>
    <row r="139" spans="2:9">
      <c r="B139" s="131"/>
      <c r="C139" s="131"/>
      <c r="D139" s="131"/>
      <c r="E139" s="131"/>
      <c r="F139" s="131"/>
      <c r="G139" s="131"/>
      <c r="H139" s="131"/>
      <c r="I139" s="131"/>
    </row>
    <row r="140" spans="2:9">
      <c r="B140" s="131"/>
      <c r="C140" s="131"/>
      <c r="D140" s="131"/>
      <c r="E140" s="131"/>
      <c r="F140" s="131"/>
      <c r="G140" s="131"/>
      <c r="H140" s="131"/>
      <c r="I140" s="131"/>
    </row>
    <row r="141" spans="2:9">
      <c r="B141" s="131"/>
      <c r="C141" s="131"/>
      <c r="D141" s="131"/>
      <c r="E141" s="131"/>
      <c r="F141" s="131"/>
      <c r="G141" s="131"/>
      <c r="H141" s="131"/>
      <c r="I141" s="131"/>
    </row>
    <row r="142" spans="2:9">
      <c r="B142" s="131"/>
      <c r="C142" s="131"/>
      <c r="D142" s="131"/>
      <c r="E142" s="131"/>
      <c r="F142" s="131"/>
      <c r="G142" s="131"/>
      <c r="H142" s="131"/>
      <c r="I142" s="131"/>
    </row>
    <row r="143" spans="2:9">
      <c r="B143" s="131"/>
      <c r="C143" s="131"/>
      <c r="D143" s="131"/>
      <c r="E143" s="131"/>
      <c r="F143" s="131"/>
      <c r="G143" s="131"/>
      <c r="H143" s="131"/>
      <c r="I143" s="131"/>
    </row>
    <row r="144" spans="2:9">
      <c r="B144" s="131"/>
      <c r="C144" s="131"/>
      <c r="D144" s="131"/>
      <c r="E144" s="131"/>
      <c r="F144" s="131"/>
      <c r="G144" s="131"/>
      <c r="H144" s="131"/>
      <c r="I144" s="131"/>
    </row>
    <row r="145" spans="2:9">
      <c r="B145" s="131"/>
      <c r="C145" s="131"/>
      <c r="D145" s="131"/>
      <c r="E145" s="131"/>
      <c r="F145" s="131"/>
      <c r="G145" s="131"/>
      <c r="H145" s="131"/>
      <c r="I145" s="131"/>
    </row>
    <row r="146" spans="2:9">
      <c r="B146" s="131"/>
      <c r="C146" s="131"/>
      <c r="D146" s="131"/>
      <c r="E146" s="131"/>
      <c r="F146" s="131"/>
      <c r="G146" s="131"/>
      <c r="H146" s="131"/>
      <c r="I146" s="131"/>
    </row>
    <row r="147" spans="2:9">
      <c r="B147" s="131"/>
      <c r="C147" s="131"/>
      <c r="D147" s="131"/>
      <c r="E147" s="131"/>
      <c r="F147" s="131"/>
      <c r="G147" s="131"/>
      <c r="H147" s="131"/>
      <c r="I147" s="131"/>
    </row>
    <row r="148" spans="2:9">
      <c r="B148" s="131"/>
      <c r="C148" s="131"/>
      <c r="D148" s="131"/>
      <c r="E148" s="131"/>
      <c r="F148" s="131"/>
      <c r="G148" s="131"/>
      <c r="H148" s="131"/>
      <c r="I148" s="131"/>
    </row>
    <row r="149" spans="2:9">
      <c r="B149" s="131"/>
      <c r="C149" s="131"/>
      <c r="D149" s="131"/>
      <c r="E149" s="131"/>
      <c r="F149" s="131"/>
      <c r="G149" s="131"/>
      <c r="H149" s="131"/>
      <c r="I149" s="131"/>
    </row>
    <row r="150" spans="2:9">
      <c r="B150" s="131"/>
      <c r="C150" s="131"/>
      <c r="D150" s="131"/>
      <c r="E150" s="131"/>
      <c r="F150" s="131"/>
      <c r="G150" s="131"/>
      <c r="H150" s="131"/>
      <c r="I150" s="131"/>
    </row>
    <row r="151" spans="2:9">
      <c r="B151" s="131"/>
      <c r="C151" s="131"/>
      <c r="D151" s="131"/>
      <c r="E151" s="131"/>
      <c r="F151" s="131"/>
      <c r="G151" s="131"/>
      <c r="H151" s="131"/>
      <c r="I151" s="131"/>
    </row>
    <row r="152" spans="2:9">
      <c r="B152" s="131"/>
      <c r="C152" s="131"/>
      <c r="D152" s="131"/>
      <c r="E152" s="131"/>
      <c r="F152" s="131"/>
      <c r="G152" s="131"/>
      <c r="H152" s="131"/>
      <c r="I152" s="131"/>
    </row>
    <row r="153" spans="2:9">
      <c r="B153" s="131"/>
      <c r="C153" s="131"/>
      <c r="D153" s="131"/>
      <c r="E153" s="131"/>
      <c r="F153" s="131"/>
      <c r="G153" s="131"/>
      <c r="H153" s="131"/>
      <c r="I153" s="131"/>
    </row>
    <row r="154" spans="2:9">
      <c r="B154" s="131"/>
      <c r="C154" s="131"/>
      <c r="D154" s="131"/>
      <c r="E154" s="131"/>
      <c r="F154" s="131"/>
      <c r="G154" s="131"/>
      <c r="H154" s="131"/>
      <c r="I154" s="131"/>
    </row>
    <row r="155" spans="2:9">
      <c r="B155" s="131"/>
      <c r="C155" s="131"/>
      <c r="D155" s="131"/>
      <c r="E155" s="131"/>
      <c r="F155" s="131"/>
      <c r="G155" s="131"/>
      <c r="H155" s="131"/>
      <c r="I155" s="131"/>
    </row>
    <row r="156" spans="2:9">
      <c r="B156" s="131"/>
      <c r="C156" s="131"/>
      <c r="D156" s="131"/>
      <c r="E156" s="131"/>
      <c r="F156" s="131"/>
      <c r="G156" s="131"/>
      <c r="H156" s="131"/>
      <c r="I156" s="131"/>
    </row>
    <row r="157" spans="2:9">
      <c r="B157" s="131"/>
      <c r="C157" s="131"/>
      <c r="D157" s="131"/>
      <c r="E157" s="131"/>
      <c r="F157" s="131"/>
      <c r="G157" s="131"/>
      <c r="H157" s="131"/>
      <c r="I157" s="131"/>
    </row>
    <row r="158" spans="2:9">
      <c r="B158" s="131"/>
      <c r="C158" s="131"/>
      <c r="D158" s="131"/>
      <c r="E158" s="131"/>
      <c r="F158" s="131"/>
      <c r="G158" s="131"/>
      <c r="H158" s="131"/>
      <c r="I158" s="131"/>
    </row>
    <row r="159" spans="2:9">
      <c r="B159" s="131"/>
      <c r="C159" s="131"/>
      <c r="D159" s="131"/>
      <c r="E159" s="131"/>
      <c r="F159" s="131"/>
      <c r="G159" s="131"/>
      <c r="H159" s="131"/>
      <c r="I159" s="131"/>
    </row>
    <row r="160" spans="2:9">
      <c r="B160" s="131"/>
      <c r="C160" s="131"/>
      <c r="D160" s="131"/>
      <c r="E160" s="131"/>
      <c r="F160" s="131"/>
      <c r="G160" s="131"/>
      <c r="H160" s="131"/>
      <c r="I160" s="131"/>
    </row>
    <row r="161" spans="2:9">
      <c r="B161" s="131"/>
      <c r="C161" s="131"/>
      <c r="D161" s="131"/>
      <c r="E161" s="131"/>
      <c r="F161" s="131"/>
      <c r="G161" s="131"/>
      <c r="H161" s="131"/>
      <c r="I161" s="131"/>
    </row>
    <row r="162" spans="2:9">
      <c r="B162" s="131"/>
      <c r="C162" s="131"/>
      <c r="D162" s="131"/>
      <c r="E162" s="131"/>
      <c r="F162" s="131"/>
      <c r="G162" s="131"/>
      <c r="H162" s="131"/>
      <c r="I162" s="131"/>
    </row>
    <row r="163" spans="2:9">
      <c r="B163" s="131"/>
      <c r="C163" s="131"/>
      <c r="D163" s="131"/>
      <c r="E163" s="131"/>
      <c r="F163" s="131"/>
      <c r="G163" s="131"/>
      <c r="H163" s="131"/>
      <c r="I163" s="131"/>
    </row>
    <row r="164" spans="2:9">
      <c r="B164" s="131"/>
      <c r="C164" s="131"/>
      <c r="D164" s="131"/>
      <c r="E164" s="131"/>
      <c r="F164" s="131"/>
      <c r="G164" s="131"/>
      <c r="H164" s="131"/>
      <c r="I164" s="131"/>
    </row>
    <row r="165" spans="2:9">
      <c r="B165" s="131"/>
      <c r="C165" s="131"/>
      <c r="D165" s="131"/>
      <c r="E165" s="131"/>
      <c r="F165" s="131"/>
      <c r="G165" s="131"/>
      <c r="H165" s="131"/>
      <c r="I165" s="131"/>
    </row>
    <row r="166" spans="2:9">
      <c r="B166" s="131"/>
      <c r="C166" s="131"/>
      <c r="D166" s="131"/>
      <c r="E166" s="131"/>
      <c r="F166" s="131"/>
      <c r="G166" s="131"/>
      <c r="H166" s="131"/>
      <c r="I166" s="131"/>
    </row>
    <row r="167" spans="2:9">
      <c r="B167" s="131"/>
      <c r="C167" s="131"/>
      <c r="D167" s="131"/>
      <c r="E167" s="131"/>
      <c r="F167" s="131"/>
      <c r="G167" s="131"/>
      <c r="H167" s="131"/>
      <c r="I167" s="131"/>
    </row>
    <row r="168" spans="2:9">
      <c r="B168" s="131"/>
      <c r="C168" s="131"/>
      <c r="D168" s="131"/>
      <c r="E168" s="131"/>
      <c r="F168" s="131"/>
      <c r="G168" s="131"/>
      <c r="H168" s="131"/>
      <c r="I168" s="131"/>
    </row>
    <row r="169" spans="2:9">
      <c r="B169" s="131"/>
      <c r="C169" s="131"/>
      <c r="D169" s="131"/>
      <c r="E169" s="131"/>
      <c r="F169" s="131"/>
      <c r="G169" s="131"/>
      <c r="H169" s="131"/>
      <c r="I169" s="131"/>
    </row>
    <row r="170" spans="2:9">
      <c r="B170" s="131"/>
      <c r="C170" s="131"/>
      <c r="D170" s="131"/>
      <c r="E170" s="131"/>
      <c r="F170" s="131"/>
      <c r="G170" s="131"/>
      <c r="H170" s="131"/>
      <c r="I170" s="131"/>
    </row>
    <row r="171" spans="2:9">
      <c r="B171" s="131"/>
      <c r="C171" s="131"/>
      <c r="D171" s="131"/>
      <c r="E171" s="131"/>
      <c r="F171" s="131"/>
      <c r="G171" s="131"/>
      <c r="H171" s="131"/>
      <c r="I171" s="131"/>
    </row>
    <row r="172" spans="2:9">
      <c r="B172" s="131"/>
      <c r="C172" s="131"/>
      <c r="D172" s="131"/>
      <c r="E172" s="131"/>
      <c r="F172" s="131"/>
      <c r="G172" s="131"/>
      <c r="H172" s="131"/>
      <c r="I172" s="131"/>
    </row>
    <row r="173" spans="2:9">
      <c r="B173" s="131"/>
      <c r="C173" s="131"/>
      <c r="D173" s="131"/>
      <c r="E173" s="131"/>
      <c r="F173" s="131"/>
      <c r="G173" s="131"/>
      <c r="H173" s="131"/>
      <c r="I173" s="131"/>
    </row>
    <row r="174" spans="2:9">
      <c r="B174" s="131"/>
      <c r="C174" s="131"/>
      <c r="D174" s="131"/>
      <c r="E174" s="131"/>
      <c r="F174" s="131"/>
      <c r="G174" s="131"/>
      <c r="H174" s="131"/>
      <c r="I174" s="131"/>
    </row>
    <row r="175" spans="2:9">
      <c r="B175" s="131"/>
      <c r="C175" s="131"/>
      <c r="D175" s="131"/>
      <c r="E175" s="131"/>
      <c r="F175" s="131"/>
      <c r="G175" s="131"/>
      <c r="H175" s="131"/>
      <c r="I175" s="131"/>
    </row>
    <row r="176" spans="2:9">
      <c r="B176" s="131"/>
      <c r="C176" s="131"/>
      <c r="D176" s="131"/>
      <c r="E176" s="131"/>
      <c r="F176" s="131"/>
      <c r="G176" s="131"/>
      <c r="H176" s="131"/>
      <c r="I176" s="131"/>
    </row>
    <row r="177" spans="2:9">
      <c r="B177" s="131"/>
      <c r="C177" s="131"/>
      <c r="D177" s="131"/>
      <c r="E177" s="131"/>
      <c r="F177" s="131"/>
      <c r="G177" s="131"/>
      <c r="H177" s="131"/>
      <c r="I177" s="131"/>
    </row>
    <row r="178" spans="2:9">
      <c r="B178" s="131"/>
      <c r="C178" s="131"/>
      <c r="D178" s="131"/>
      <c r="E178" s="131"/>
      <c r="F178" s="131"/>
      <c r="G178" s="131"/>
      <c r="H178" s="131"/>
      <c r="I178" s="131"/>
    </row>
    <row r="179" spans="2:9">
      <c r="B179" s="131"/>
      <c r="C179" s="131"/>
      <c r="D179" s="131"/>
      <c r="E179" s="131"/>
      <c r="F179" s="131"/>
      <c r="G179" s="131"/>
      <c r="H179" s="131"/>
      <c r="I179" s="131"/>
    </row>
    <row r="180" spans="2:9">
      <c r="B180" s="131"/>
      <c r="C180" s="131"/>
      <c r="D180" s="131"/>
      <c r="E180" s="131"/>
      <c r="F180" s="131"/>
      <c r="G180" s="131"/>
      <c r="H180" s="131"/>
      <c r="I180" s="131"/>
    </row>
    <row r="181" spans="2:9">
      <c r="B181" s="131"/>
      <c r="C181" s="131"/>
      <c r="D181" s="131"/>
      <c r="E181" s="131"/>
      <c r="F181" s="131"/>
      <c r="G181" s="131"/>
      <c r="H181" s="131"/>
      <c r="I181" s="131"/>
    </row>
    <row r="182" spans="2:9">
      <c r="B182" s="131"/>
      <c r="C182" s="131"/>
      <c r="D182" s="131"/>
      <c r="E182" s="131"/>
      <c r="F182" s="131"/>
      <c r="G182" s="131"/>
      <c r="H182" s="131"/>
      <c r="I182" s="131"/>
    </row>
    <row r="183" spans="2:9">
      <c r="B183" s="131"/>
      <c r="C183" s="131"/>
      <c r="D183" s="131"/>
      <c r="E183" s="131"/>
      <c r="F183" s="131"/>
      <c r="G183" s="131"/>
      <c r="H183" s="131"/>
      <c r="I183" s="131"/>
    </row>
    <row r="184" spans="2:9">
      <c r="B184" s="131"/>
      <c r="C184" s="131"/>
      <c r="D184" s="131"/>
      <c r="E184" s="131"/>
      <c r="F184" s="131"/>
      <c r="G184" s="131"/>
      <c r="H184" s="131"/>
      <c r="I184" s="131"/>
    </row>
    <row r="185" spans="2:9">
      <c r="B185" s="131"/>
      <c r="C185" s="131"/>
      <c r="D185" s="131"/>
      <c r="E185" s="131"/>
      <c r="F185" s="131"/>
      <c r="G185" s="131"/>
      <c r="H185" s="131"/>
      <c r="I185" s="131"/>
    </row>
    <row r="186" spans="2:9">
      <c r="B186" s="131"/>
      <c r="C186" s="131"/>
      <c r="D186" s="131"/>
      <c r="E186" s="131"/>
      <c r="F186" s="131"/>
      <c r="G186" s="131"/>
      <c r="H186" s="131"/>
      <c r="I186" s="131"/>
    </row>
    <row r="187" spans="2:9">
      <c r="B187" s="131"/>
      <c r="C187" s="131"/>
      <c r="D187" s="131"/>
      <c r="E187" s="131"/>
      <c r="F187" s="131"/>
      <c r="G187" s="131"/>
      <c r="H187" s="131"/>
      <c r="I187" s="131"/>
    </row>
    <row r="188" spans="2:9">
      <c r="B188" s="131"/>
      <c r="C188" s="131"/>
      <c r="D188" s="131"/>
      <c r="E188" s="131"/>
      <c r="F188" s="131"/>
      <c r="G188" s="131"/>
      <c r="H188" s="131"/>
      <c r="I188" s="131"/>
    </row>
    <row r="189" spans="2:9">
      <c r="B189" s="131"/>
      <c r="C189" s="131"/>
      <c r="D189" s="131"/>
      <c r="E189" s="131"/>
      <c r="F189" s="131"/>
      <c r="G189" s="131"/>
      <c r="H189" s="131"/>
      <c r="I189" s="131"/>
    </row>
    <row r="190" spans="2:9">
      <c r="B190" s="131"/>
      <c r="C190" s="131"/>
      <c r="D190" s="131"/>
      <c r="E190" s="131"/>
      <c r="F190" s="131"/>
      <c r="G190" s="131"/>
      <c r="H190" s="131"/>
      <c r="I190" s="131"/>
    </row>
    <row r="191" spans="2:9">
      <c r="B191" s="131"/>
      <c r="C191" s="131"/>
      <c r="D191" s="131"/>
      <c r="E191" s="131"/>
      <c r="F191" s="131"/>
      <c r="G191" s="131"/>
      <c r="H191" s="131"/>
      <c r="I191" s="131"/>
    </row>
    <row r="192" spans="2:9">
      <c r="B192" s="131"/>
      <c r="C192" s="131"/>
      <c r="D192" s="131"/>
      <c r="E192" s="131"/>
      <c r="F192" s="131"/>
      <c r="G192" s="131"/>
      <c r="H192" s="131"/>
      <c r="I192" s="131"/>
    </row>
    <row r="193" spans="2:9">
      <c r="B193" s="131"/>
      <c r="C193" s="131"/>
      <c r="D193" s="131"/>
      <c r="E193" s="131"/>
      <c r="F193" s="131"/>
      <c r="G193" s="131"/>
      <c r="H193" s="131"/>
      <c r="I193" s="131"/>
    </row>
    <row r="194" spans="2:9">
      <c r="B194" s="131"/>
      <c r="C194" s="131"/>
      <c r="D194" s="131"/>
      <c r="E194" s="131"/>
      <c r="F194" s="131"/>
      <c r="G194" s="131"/>
      <c r="H194" s="131"/>
      <c r="I194" s="131"/>
    </row>
    <row r="195" spans="2:9">
      <c r="B195" s="131"/>
      <c r="C195" s="131"/>
      <c r="D195" s="131"/>
      <c r="E195" s="131"/>
      <c r="F195" s="131"/>
      <c r="G195" s="131"/>
      <c r="H195" s="131"/>
      <c r="I195" s="131"/>
    </row>
    <row r="196" spans="2:9">
      <c r="B196" s="131"/>
      <c r="C196" s="131"/>
      <c r="D196" s="131"/>
      <c r="E196" s="131"/>
      <c r="F196" s="131"/>
      <c r="G196" s="131"/>
      <c r="H196" s="131"/>
      <c r="I196" s="131"/>
    </row>
    <row r="197" spans="2:9">
      <c r="B197" s="131"/>
      <c r="C197" s="131"/>
      <c r="D197" s="131"/>
      <c r="E197" s="131"/>
      <c r="F197" s="131"/>
      <c r="G197" s="131"/>
      <c r="H197" s="131"/>
      <c r="I197" s="131"/>
    </row>
    <row r="198" spans="2:9">
      <c r="B198" s="131"/>
      <c r="C198" s="131"/>
      <c r="D198" s="131"/>
      <c r="E198" s="131"/>
      <c r="F198" s="131"/>
      <c r="G198" s="131"/>
      <c r="H198" s="131"/>
      <c r="I198" s="131"/>
    </row>
    <row r="199" spans="2:9">
      <c r="B199" s="131"/>
      <c r="C199" s="131"/>
      <c r="D199" s="131"/>
      <c r="E199" s="131"/>
      <c r="F199" s="131"/>
      <c r="G199" s="131"/>
      <c r="H199" s="131"/>
      <c r="I199" s="131"/>
    </row>
  </sheetData>
  <dataValidations count="1">
    <dataValidation type="list" allowBlank="1" showInputMessage="1" showErrorMessage="1" sqref="J118:J124" xr:uid="{D3781DF5-6FBE-4BBD-9F73-ABD1912C4C28}">
      <formula1>"Available annually, Available every few years, Infrequent / Once-off"</formula1>
    </dataValidation>
  </dataValidations>
  <hyperlinks>
    <hyperlink ref="G55" r:id="rId1" display="https://international-aluminium.org/statistics/primary-aluminium-smelting-energy-intensity/" xr:uid="{499E0570-35C8-4368-B6D8-C2005230D984}"/>
    <hyperlink ref="G84" r:id="rId2" xr:uid="{0C285B10-627F-43B0-9C5F-11AB274EC9B4}"/>
    <hyperlink ref="G98" r:id="rId3" xr:uid="{1800BE30-13FF-416C-81DB-6649F580A469}"/>
    <hyperlink ref="G118" r:id="rId4" xr:uid="{D17D1C1D-B997-489C-8E73-1349BADC302E}"/>
    <hyperlink ref="G78" r:id="rId5" display="https://urldefense.proofpoint.com/v2/url?u=https-3A__cmc.nt.gov.au_-5F-5Fdata_assets_pdf-5Ffile_0006_1052898_q20-2D0114-2Dgccsi-2Dnt-2Dcss-2Dhub-2Dstudy-2Dfinal-2Dreport.pdf&amp;d=DwMGaQ&amp;c=eIGjsITfXP_y-DLLX0uEHXJvU8nOHrUK8IrwNKOtkVU&amp;r=YdscAjPWKn446ggKobETjTZWZl-hyE_cVsOmwB-mE_Otoapb8mZVoDskUvoFmxHp&amp;m=Ddqd7JDShc3bHzPJuFw38viA9bMAS7jPFA_SKggTdD3OrFt8T04PoXl72-Dw-nbL&amp;s=UceurDTIhXxq4pvqQUxG5RAXEEySFZOTtSInPW-Ed3o&amp;e=" xr:uid="{E08D8BD6-3C0D-4EB5-B67B-1C8D8217D930}"/>
    <hyperlink ref="G28" r:id="rId6" display="https://missionpossiblepartnership.org/wp-content/uploads/2021/12/Closing-the-Gap-for-Aluminium-Emissions.pdf" xr:uid="{8946C51D-EB2C-47D5-B5CB-07DA9A5DD889}"/>
    <hyperlink ref="G61" r:id="rId7" xr:uid="{5C57C708-4834-4AC9-9DD0-C2D23740C646}"/>
    <hyperlink ref="G10" r:id="rId8" display="https://missionpossiblepartnership.org/wp-content/uploads/2023/04/Making-1.5-Aligned-Aluminium-possible.pdf" xr:uid="{F972DDC1-6E7A-4108-82CE-7DE5D95CE322}"/>
    <hyperlink ref="G14" r:id="rId9" display="https://missionpossiblepartnership.org/wp-content/uploads/2023/04/Making-1.5-Aligned-Aluminium-possible.pdf" xr:uid="{9857BEA7-E14A-4219-997C-558AF241E35F}"/>
    <hyperlink ref="G13" r:id="rId10" xr:uid="{74EF80BB-5C45-4088-AA88-610EB40C3501}"/>
    <hyperlink ref="G42" r:id="rId11" xr:uid="{7F29AD3F-8293-4E16-A5F7-8B22AFE8F518}"/>
    <hyperlink ref="G87" r:id="rId12" xr:uid="{19AE482D-7A63-440D-B7CE-EB12745BB69D}"/>
    <hyperlink ref="G27" r:id="rId13" display="Making-1.5-Aligned-Aluminium-possible.pdf (missionpossiblepartnership.org)" xr:uid="{71DE2CBA-0FB7-4641-878F-0B01F2D9C7E2}"/>
    <hyperlink ref="G26" r:id="rId14" xr:uid="{74EC7327-E550-4A73-A950-B0318F318622}"/>
    <hyperlink ref="G11" r:id="rId15" xr:uid="{47A0648E-46B7-4082-817D-C9D300650F75}"/>
    <hyperlink ref="G33" r:id="rId16" display="Making-1.5-Aligned-Aluminium-possible.pdf (missionpossiblepartnership.org)" xr:uid="{3924874F-375A-42F3-B3D7-E3D5E7A42276}"/>
    <hyperlink ref="G32" r:id="rId17" xr:uid="{C1BB05EA-184D-4268-8A97-7709AC3A8FB5}"/>
    <hyperlink ref="G31" r:id="rId18" xr:uid="{2B1C8F8E-081D-40D0-ACD4-1591A0E094DD}"/>
    <hyperlink ref="G65" r:id="rId19" xr:uid="{200681DD-BD27-4593-A163-F01914C41F6B}"/>
    <hyperlink ref="G75" r:id="rId20" xr:uid="{2CFFE3A5-3A4C-4572-B7FD-7F46F4A6E12E}"/>
    <hyperlink ref="G110" r:id="rId21" xr:uid="{D89833FD-9B7A-414C-9EDA-11B87B2ABACB}"/>
    <hyperlink ref="G97" r:id="rId22" xr:uid="{38EFC913-1EB4-43CA-A677-CD6144E66EEE}"/>
    <hyperlink ref="G52" r:id="rId23" xr:uid="{8B4246A4-7BA4-44D3-B264-6FE05556E09A}"/>
    <hyperlink ref="G17" r:id="rId24" xr:uid="{BB9D8F13-CD42-4BB4-BF2D-6897FB7DC4BE}"/>
    <hyperlink ref="G58" r:id="rId25" xr:uid="{B0D78785-AD9E-47E0-BB75-55618032463A}"/>
    <hyperlink ref="G12" r:id="rId26" display="https://missionpossiblepartnership.org/wp-content/uploads/2023/04/Making-1.5-Aligned-Aluminium-possible.pdf" xr:uid="{3DF2E669-3195-45F6-81C8-8CECF8C800A0}"/>
    <hyperlink ref="G59" r:id="rId27" display="Renewable Power Generation Costs in 2021 (irena.org)" xr:uid="{2EE98154-9BDC-421A-8AB7-1B7F4E796FD7}"/>
    <hyperlink ref="G60" r:id="rId28" xr:uid="{EAC295DB-7FE2-4D83-BA50-FF5FA98298CC}"/>
  </hyperlinks>
  <pageMargins left="0.7" right="0.7" top="0.75" bottom="0.75" header="0.3" footer="0.3"/>
  <pageSetup orientation="portrait" r:id="rId2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E69C-9245-4728-9E31-34C1C56F51CF}">
  <sheetPr codeName="Sheet10">
    <tabColor theme="4" tint="-0.499984740745262"/>
  </sheetPr>
  <dimension ref="A1:J151"/>
  <sheetViews>
    <sheetView showGridLines="0" zoomScale="70" zoomScaleNormal="70" workbookViewId="0">
      <selection activeCell="G78" sqref="G78"/>
    </sheetView>
  </sheetViews>
  <sheetFormatPr baseColWidth="10" defaultColWidth="8.83203125" defaultRowHeight="15"/>
  <cols>
    <col min="2" max="2" width="43.83203125" style="21" customWidth="1"/>
    <col min="3" max="3" width="26.5" style="21" customWidth="1"/>
    <col min="4" max="4" width="19.1640625" style="21" customWidth="1"/>
    <col min="5" max="5" width="15.1640625" style="21" customWidth="1"/>
    <col min="6" max="6" width="11.83203125" style="21" customWidth="1"/>
    <col min="7" max="7" width="37" style="21" customWidth="1"/>
    <col min="8" max="8" width="27.83203125" style="21" customWidth="1"/>
    <col min="9" max="9" width="37.83203125" style="21" customWidth="1"/>
  </cols>
  <sheetData>
    <row r="1" spans="2:9" s="1" customFormat="1">
      <c r="B1" s="2"/>
      <c r="C1" s="2"/>
      <c r="D1" s="2"/>
      <c r="E1" s="2"/>
      <c r="F1" s="2"/>
      <c r="G1" s="2"/>
      <c r="H1" s="2"/>
      <c r="I1" s="2"/>
    </row>
    <row r="2" spans="2:9" s="1" customFormat="1" ht="15" customHeight="1">
      <c r="B2" s="19" t="s">
        <v>0</v>
      </c>
      <c r="C2" s="43"/>
      <c r="D2" s="43"/>
      <c r="E2" s="43"/>
      <c r="F2" s="2"/>
      <c r="G2" s="2"/>
      <c r="H2" s="2"/>
      <c r="I2" s="2"/>
    </row>
    <row r="3" spans="2:9" s="1" customFormat="1" ht="15" customHeight="1">
      <c r="B3" s="19" t="s">
        <v>494</v>
      </c>
      <c r="C3" s="43"/>
      <c r="D3" s="2"/>
      <c r="E3" s="2"/>
      <c r="F3" s="2"/>
      <c r="G3" s="2"/>
      <c r="H3" s="2"/>
      <c r="I3" s="2"/>
    </row>
    <row r="4" spans="2:9" s="4" customFormat="1" ht="15" customHeight="1" thickBot="1">
      <c r="B4" s="5"/>
      <c r="C4" s="5"/>
      <c r="D4" s="5"/>
      <c r="E4" s="5"/>
      <c r="F4" s="5"/>
      <c r="G4" s="5"/>
      <c r="H4" s="5"/>
      <c r="I4" s="5"/>
    </row>
    <row r="6" spans="2:9" ht="14.25" customHeight="1">
      <c r="B6" s="13" t="s">
        <v>495</v>
      </c>
      <c r="C6" s="35"/>
      <c r="D6" s="35"/>
      <c r="E6" s="35"/>
      <c r="F6" s="35"/>
      <c r="G6" s="35"/>
      <c r="H6" s="35"/>
      <c r="I6" s="35"/>
    </row>
    <row r="7" spans="2:9">
      <c r="B7" s="24" t="s">
        <v>47</v>
      </c>
      <c r="C7" s="24" t="s">
        <v>48</v>
      </c>
      <c r="D7" s="24" t="s">
        <v>49</v>
      </c>
      <c r="E7" s="24" t="s">
        <v>28</v>
      </c>
      <c r="F7" s="24" t="s">
        <v>50</v>
      </c>
      <c r="G7" s="24" t="s">
        <v>29</v>
      </c>
      <c r="H7" s="24" t="s">
        <v>122</v>
      </c>
      <c r="I7" s="24" t="s">
        <v>123</v>
      </c>
    </row>
    <row r="9" spans="2:9">
      <c r="B9" s="21" t="s">
        <v>124</v>
      </c>
      <c r="C9" s="21">
        <v>1.1100000000000001</v>
      </c>
      <c r="D9" s="21" t="s">
        <v>125</v>
      </c>
      <c r="E9" s="21" t="s">
        <v>497</v>
      </c>
      <c r="F9" s="21">
        <v>2018</v>
      </c>
      <c r="G9" s="51" t="s">
        <v>498</v>
      </c>
    </row>
    <row r="10" spans="2:9">
      <c r="B10" s="20" t="s">
        <v>499</v>
      </c>
      <c r="C10" s="93">
        <v>1.08</v>
      </c>
      <c r="D10" s="21" t="s">
        <v>125</v>
      </c>
      <c r="E10" s="21" t="s">
        <v>497</v>
      </c>
      <c r="F10" s="21">
        <v>2018</v>
      </c>
      <c r="G10" s="21" t="s">
        <v>129</v>
      </c>
    </row>
    <row r="11" spans="2:9">
      <c r="B11" s="20" t="s">
        <v>24</v>
      </c>
      <c r="C11" s="38" t="s">
        <v>42</v>
      </c>
      <c r="D11" s="21" t="s">
        <v>125</v>
      </c>
      <c r="E11" s="21" t="s">
        <v>497</v>
      </c>
      <c r="F11" s="21">
        <v>2018</v>
      </c>
      <c r="G11" s="21" t="s">
        <v>52</v>
      </c>
    </row>
    <row r="12" spans="2:9">
      <c r="B12" s="20" t="s">
        <v>25</v>
      </c>
      <c r="C12" s="93">
        <v>0.03</v>
      </c>
      <c r="D12" s="21" t="s">
        <v>125</v>
      </c>
      <c r="E12" s="21" t="s">
        <v>497</v>
      </c>
      <c r="F12" s="21">
        <v>2018</v>
      </c>
      <c r="G12" s="51" t="s">
        <v>498</v>
      </c>
      <c r="I12" s="21" t="s">
        <v>500</v>
      </c>
    </row>
    <row r="13" spans="2:9">
      <c r="B13" s="21" t="s">
        <v>131</v>
      </c>
      <c r="C13" s="93">
        <v>0.04</v>
      </c>
      <c r="D13" s="21" t="s">
        <v>125</v>
      </c>
      <c r="E13" s="21" t="s">
        <v>497</v>
      </c>
      <c r="F13" s="21">
        <v>2018</v>
      </c>
      <c r="G13" s="21" t="s">
        <v>129</v>
      </c>
    </row>
    <row r="14" spans="2:9">
      <c r="B14" s="21" t="s">
        <v>133</v>
      </c>
      <c r="C14" s="93">
        <v>0</v>
      </c>
      <c r="D14" s="21" t="s">
        <v>501</v>
      </c>
      <c r="E14" s="21" t="s">
        <v>502</v>
      </c>
      <c r="F14" s="21">
        <v>2021</v>
      </c>
      <c r="G14" s="21" t="s">
        <v>503</v>
      </c>
    </row>
    <row r="15" spans="2:9">
      <c r="B15" s="21" t="s">
        <v>136</v>
      </c>
      <c r="C15" s="38" t="s">
        <v>42</v>
      </c>
    </row>
    <row r="17" spans="1:9">
      <c r="A17" s="9"/>
      <c r="B17" s="53" t="s">
        <v>138</v>
      </c>
      <c r="C17" s="35"/>
      <c r="D17" s="35"/>
      <c r="E17" s="35"/>
      <c r="F17" s="35"/>
      <c r="G17" s="35"/>
      <c r="H17" s="35"/>
      <c r="I17" s="35"/>
    </row>
    <row r="18" spans="1:9">
      <c r="B18" s="24" t="s">
        <v>47</v>
      </c>
      <c r="C18" s="24" t="s">
        <v>48</v>
      </c>
      <c r="D18" s="24" t="s">
        <v>49</v>
      </c>
      <c r="E18" s="24" t="s">
        <v>28</v>
      </c>
      <c r="F18" s="24" t="s">
        <v>50</v>
      </c>
      <c r="G18" s="24" t="s">
        <v>29</v>
      </c>
      <c r="H18" s="24" t="s">
        <v>122</v>
      </c>
      <c r="I18" s="24" t="s">
        <v>123</v>
      </c>
    </row>
    <row r="20" spans="1:9">
      <c r="B20" s="21" t="s">
        <v>139</v>
      </c>
      <c r="C20" s="95">
        <v>95.2</v>
      </c>
      <c r="D20" s="21" t="s">
        <v>145</v>
      </c>
      <c r="E20" s="21" t="s">
        <v>497</v>
      </c>
      <c r="F20" s="21">
        <v>2018</v>
      </c>
      <c r="G20" s="51" t="s">
        <v>9</v>
      </c>
      <c r="I20" s="21" t="s">
        <v>676</v>
      </c>
    </row>
    <row r="21" spans="1:9">
      <c r="B21" s="20" t="s">
        <v>12</v>
      </c>
      <c r="C21" s="21">
        <v>64</v>
      </c>
      <c r="D21" s="21" t="s">
        <v>145</v>
      </c>
      <c r="E21" s="21" t="s">
        <v>497</v>
      </c>
      <c r="F21" s="21">
        <v>2018</v>
      </c>
      <c r="G21" s="21" t="s">
        <v>129</v>
      </c>
    </row>
    <row r="22" spans="1:9">
      <c r="B22" s="20" t="s">
        <v>13</v>
      </c>
      <c r="C22" s="21">
        <v>32</v>
      </c>
      <c r="D22" s="21" t="s">
        <v>145</v>
      </c>
      <c r="E22" s="21" t="s">
        <v>497</v>
      </c>
      <c r="F22" s="21">
        <v>2018</v>
      </c>
      <c r="G22" s="21" t="s">
        <v>129</v>
      </c>
    </row>
    <row r="23" spans="1:9">
      <c r="B23" s="21" t="s">
        <v>506</v>
      </c>
      <c r="C23" s="44">
        <v>0.47</v>
      </c>
      <c r="E23" s="21" t="s">
        <v>151</v>
      </c>
      <c r="F23" s="21" t="s">
        <v>52</v>
      </c>
      <c r="G23" s="51" t="s">
        <v>507</v>
      </c>
      <c r="H23" s="21" t="s">
        <v>508</v>
      </c>
    </row>
    <row r="24" spans="1:9">
      <c r="B24" s="21" t="s">
        <v>509</v>
      </c>
      <c r="C24" s="21">
        <v>0</v>
      </c>
      <c r="E24" s="21" t="s">
        <v>151</v>
      </c>
      <c r="G24" s="51" t="s">
        <v>510</v>
      </c>
      <c r="H24" s="21" t="s">
        <v>508</v>
      </c>
    </row>
    <row r="25" spans="1:9">
      <c r="B25" s="21" t="s">
        <v>511</v>
      </c>
      <c r="C25" s="38" t="s">
        <v>42</v>
      </c>
      <c r="D25" s="38"/>
    </row>
    <row r="26" spans="1:9">
      <c r="B26" s="21" t="s">
        <v>512</v>
      </c>
      <c r="C26" s="38" t="s">
        <v>42</v>
      </c>
      <c r="D26" s="38"/>
    </row>
    <row r="27" spans="1:9">
      <c r="B27" s="21" t="s">
        <v>513</v>
      </c>
      <c r="C27" s="103">
        <f>C22/C20</f>
        <v>0.33613445378151258</v>
      </c>
    </row>
    <row r="29" spans="1:9">
      <c r="A29" s="9"/>
      <c r="B29" s="53" t="s">
        <v>158</v>
      </c>
      <c r="C29" s="35"/>
      <c r="D29" s="35"/>
      <c r="E29" s="35"/>
      <c r="F29" s="35"/>
      <c r="G29" s="35"/>
      <c r="H29" s="35"/>
      <c r="I29" s="35"/>
    </row>
    <row r="30" spans="1:9">
      <c r="B30" s="24" t="s">
        <v>47</v>
      </c>
      <c r="C30" s="24" t="s">
        <v>48</v>
      </c>
      <c r="D30" s="24" t="s">
        <v>49</v>
      </c>
      <c r="E30" s="24" t="s">
        <v>28</v>
      </c>
      <c r="F30" s="24" t="s">
        <v>50</v>
      </c>
      <c r="G30" s="24" t="s">
        <v>29</v>
      </c>
      <c r="H30" s="24" t="s">
        <v>122</v>
      </c>
      <c r="I30" s="24" t="s">
        <v>123</v>
      </c>
    </row>
    <row r="31" spans="1:9">
      <c r="B31" s="21" t="s">
        <v>159</v>
      </c>
    </row>
    <row r="32" spans="1:9">
      <c r="B32" s="20" t="s">
        <v>514</v>
      </c>
      <c r="C32" s="98">
        <f>(C35*C38+C39*C36)</f>
        <v>11.023529411764706</v>
      </c>
      <c r="D32" s="52" t="s">
        <v>161</v>
      </c>
      <c r="E32" s="21" t="s">
        <v>52</v>
      </c>
      <c r="F32" s="21" t="s">
        <v>52</v>
      </c>
      <c r="G32" s="21" t="s">
        <v>52</v>
      </c>
      <c r="H32" s="21" t="s">
        <v>52</v>
      </c>
      <c r="I32" s="21" t="s">
        <v>515</v>
      </c>
    </row>
    <row r="33" spans="1:10">
      <c r="B33" s="20" t="s">
        <v>516</v>
      </c>
      <c r="C33" s="93">
        <v>2.5</v>
      </c>
      <c r="D33" s="52" t="s">
        <v>161</v>
      </c>
      <c r="E33" s="21" t="s">
        <v>151</v>
      </c>
      <c r="F33" s="21" t="s">
        <v>52</v>
      </c>
      <c r="G33" s="51" t="s">
        <v>507</v>
      </c>
      <c r="H33" s="21" t="s">
        <v>508</v>
      </c>
    </row>
    <row r="34" spans="1:10">
      <c r="B34" s="20"/>
      <c r="D34" s="52"/>
      <c r="G34" s="51"/>
    </row>
    <row r="35" spans="1:10">
      <c r="B35" s="21" t="s">
        <v>517</v>
      </c>
      <c r="C35" s="21">
        <v>16.100000000000001</v>
      </c>
      <c r="D35" s="52" t="s">
        <v>161</v>
      </c>
      <c r="E35" s="21" t="s">
        <v>497</v>
      </c>
      <c r="F35" s="21">
        <v>2018</v>
      </c>
      <c r="G35" s="51" t="s">
        <v>9</v>
      </c>
      <c r="J35" s="16"/>
    </row>
    <row r="36" spans="1:10">
      <c r="B36" s="21" t="s">
        <v>519</v>
      </c>
      <c r="C36" s="21">
        <v>0.6</v>
      </c>
      <c r="D36" s="52" t="s">
        <v>161</v>
      </c>
      <c r="E36" s="21" t="s">
        <v>497</v>
      </c>
      <c r="F36" s="21">
        <v>2018</v>
      </c>
      <c r="G36" s="21" t="s">
        <v>129</v>
      </c>
    </row>
    <row r="37" spans="1:10">
      <c r="B37" s="21" t="s">
        <v>167</v>
      </c>
      <c r="C37" s="44"/>
    </row>
    <row r="38" spans="1:10">
      <c r="B38" s="20" t="s">
        <v>517</v>
      </c>
      <c r="C38" s="45">
        <f>C21/C20</f>
        <v>0.67226890756302515</v>
      </c>
      <c r="D38" s="21" t="s">
        <v>33</v>
      </c>
      <c r="E38" s="21" t="s">
        <v>52</v>
      </c>
      <c r="F38" s="21" t="s">
        <v>52</v>
      </c>
      <c r="G38" s="21" t="s">
        <v>52</v>
      </c>
      <c r="H38" s="21" t="s">
        <v>52</v>
      </c>
    </row>
    <row r="39" spans="1:10">
      <c r="B39" s="20" t="s">
        <v>519</v>
      </c>
      <c r="C39" s="45">
        <f>C22/(C22+C21)</f>
        <v>0.33333333333333331</v>
      </c>
      <c r="D39" s="21" t="s">
        <v>33</v>
      </c>
      <c r="E39" s="21" t="s">
        <v>52</v>
      </c>
      <c r="F39" s="21" t="s">
        <v>52</v>
      </c>
      <c r="G39" s="21" t="s">
        <v>52</v>
      </c>
      <c r="H39" s="21" t="s">
        <v>52</v>
      </c>
    </row>
    <row r="40" spans="1:10">
      <c r="B40" s="21" t="s">
        <v>168</v>
      </c>
      <c r="C40" s="98">
        <f>(C41*C38+C39*C42)</f>
        <v>50.473389355742285</v>
      </c>
      <c r="D40" s="21" t="s">
        <v>169</v>
      </c>
      <c r="E40" s="21" t="s">
        <v>52</v>
      </c>
      <c r="F40" s="21" t="s">
        <v>52</v>
      </c>
      <c r="G40" s="21" t="s">
        <v>52</v>
      </c>
      <c r="H40" s="21" t="s">
        <v>52</v>
      </c>
      <c r="I40" s="21" t="s">
        <v>515</v>
      </c>
    </row>
    <row r="41" spans="1:10" ht="15.75" customHeight="1">
      <c r="B41" s="20" t="s">
        <v>517</v>
      </c>
      <c r="C41" s="21">
        <v>72.599999999999994</v>
      </c>
      <c r="D41" s="21" t="s">
        <v>169</v>
      </c>
      <c r="E41" s="21" t="s">
        <v>497</v>
      </c>
      <c r="F41" s="21">
        <v>2018</v>
      </c>
      <c r="G41" s="51" t="s">
        <v>522</v>
      </c>
      <c r="I41" s="31" t="s">
        <v>523</v>
      </c>
    </row>
    <row r="42" spans="1:10">
      <c r="B42" s="20" t="s">
        <v>519</v>
      </c>
      <c r="C42" s="47">
        <v>5</v>
      </c>
      <c r="D42" s="21" t="s">
        <v>169</v>
      </c>
      <c r="F42" s="21">
        <v>2018</v>
      </c>
      <c r="G42" s="21" t="s">
        <v>129</v>
      </c>
    </row>
    <row r="44" spans="1:10">
      <c r="A44" s="9"/>
      <c r="B44" s="53" t="s">
        <v>170</v>
      </c>
      <c r="C44" s="35"/>
      <c r="D44" s="35"/>
      <c r="E44" s="35"/>
      <c r="F44" s="35"/>
      <c r="G44" s="35"/>
      <c r="H44" s="35"/>
      <c r="I44" s="35"/>
    </row>
    <row r="45" spans="1:10">
      <c r="B45" s="24" t="s">
        <v>47</v>
      </c>
      <c r="C45" s="24" t="s">
        <v>48</v>
      </c>
      <c r="D45" s="24" t="s">
        <v>49</v>
      </c>
      <c r="E45" s="24" t="s">
        <v>28</v>
      </c>
      <c r="F45" s="24" t="s">
        <v>50</v>
      </c>
      <c r="G45" s="24" t="s">
        <v>29</v>
      </c>
      <c r="H45" s="24" t="s">
        <v>122</v>
      </c>
      <c r="I45" s="24" t="s">
        <v>123</v>
      </c>
    </row>
    <row r="47" spans="1:10">
      <c r="B47" s="21" t="s">
        <v>171</v>
      </c>
      <c r="C47" s="49">
        <f>SUM(C48:C52)</f>
        <v>4.18</v>
      </c>
      <c r="D47" s="21" t="s">
        <v>38</v>
      </c>
    </row>
    <row r="48" spans="1:10">
      <c r="B48" s="20" t="s">
        <v>677</v>
      </c>
      <c r="C48" s="46">
        <v>2.29</v>
      </c>
      <c r="D48" s="21" t="s">
        <v>38</v>
      </c>
      <c r="E48" s="21" t="s">
        <v>497</v>
      </c>
      <c r="F48" s="21">
        <v>2020</v>
      </c>
      <c r="G48" s="15" t="s">
        <v>530</v>
      </c>
      <c r="I48" s="21" t="s">
        <v>678</v>
      </c>
    </row>
    <row r="49" spans="2:9">
      <c r="B49" s="20" t="s">
        <v>679</v>
      </c>
      <c r="C49" s="21">
        <v>0.1</v>
      </c>
      <c r="D49" s="21" t="s">
        <v>38</v>
      </c>
      <c r="E49" s="21" t="s">
        <v>497</v>
      </c>
      <c r="F49" s="21">
        <v>2020</v>
      </c>
      <c r="G49" s="21" t="s">
        <v>129</v>
      </c>
    </row>
    <row r="50" spans="2:9">
      <c r="B50" s="20" t="s">
        <v>680</v>
      </c>
      <c r="C50" s="46">
        <v>0.64</v>
      </c>
      <c r="D50" s="21" t="s">
        <v>38</v>
      </c>
      <c r="E50" s="21" t="s">
        <v>497</v>
      </c>
      <c r="F50" s="21">
        <v>2020</v>
      </c>
      <c r="G50" s="21" t="s">
        <v>129</v>
      </c>
    </row>
    <row r="51" spans="2:9">
      <c r="B51" s="20" t="s">
        <v>681</v>
      </c>
      <c r="C51" s="21">
        <v>1.05</v>
      </c>
      <c r="D51" s="21" t="s">
        <v>38</v>
      </c>
      <c r="G51" s="21" t="s">
        <v>129</v>
      </c>
    </row>
    <row r="52" spans="2:9" hidden="1">
      <c r="B52" s="20" t="s">
        <v>682</v>
      </c>
      <c r="C52" s="21">
        <v>0.1</v>
      </c>
      <c r="G52" s="21" t="s">
        <v>129</v>
      </c>
    </row>
    <row r="53" spans="2:9">
      <c r="B53" s="21" t="s">
        <v>171</v>
      </c>
    </row>
    <row r="54" spans="2:9">
      <c r="B54" s="20" t="s">
        <v>677</v>
      </c>
      <c r="C54" s="45">
        <f>C48/$C$47</f>
        <v>0.54784688995215314</v>
      </c>
      <c r="D54" s="21" t="s">
        <v>33</v>
      </c>
      <c r="E54" s="21" t="s">
        <v>52</v>
      </c>
      <c r="F54" s="21" t="s">
        <v>52</v>
      </c>
      <c r="G54" s="21" t="s">
        <v>52</v>
      </c>
      <c r="H54" s="21" t="s">
        <v>52</v>
      </c>
    </row>
    <row r="55" spans="2:9">
      <c r="B55" s="20" t="s">
        <v>683</v>
      </c>
      <c r="C55" s="45">
        <f t="shared" ref="C55:C56" si="0">C49/$C$47</f>
        <v>2.3923444976076558E-2</v>
      </c>
      <c r="D55" s="21" t="s">
        <v>33</v>
      </c>
      <c r="E55" s="21" t="s">
        <v>52</v>
      </c>
      <c r="F55" s="21" t="s">
        <v>52</v>
      </c>
      <c r="G55" s="21" t="s">
        <v>52</v>
      </c>
      <c r="H55" s="21" t="s">
        <v>52</v>
      </c>
    </row>
    <row r="56" spans="2:9">
      <c r="B56" s="20" t="s">
        <v>684</v>
      </c>
      <c r="C56" s="45">
        <f t="shared" si="0"/>
        <v>0.15311004784688997</v>
      </c>
      <c r="D56" s="21" t="s">
        <v>33</v>
      </c>
      <c r="E56" s="21" t="s">
        <v>52</v>
      </c>
      <c r="F56" s="21" t="s">
        <v>52</v>
      </c>
      <c r="G56" s="21" t="s">
        <v>52</v>
      </c>
      <c r="H56" s="21" t="s">
        <v>52</v>
      </c>
    </row>
    <row r="57" spans="2:9">
      <c r="B57" s="20" t="s">
        <v>681</v>
      </c>
      <c r="C57" s="45">
        <f>C51/C47</f>
        <v>0.25119617224880386</v>
      </c>
    </row>
    <row r="58" spans="2:9">
      <c r="B58" s="20"/>
    </row>
    <row r="59" spans="2:9">
      <c r="B59" s="21" t="s">
        <v>176</v>
      </c>
      <c r="C59" s="95">
        <f>SUMPRODUCT(C54:C57,C60:C63)</f>
        <v>59.069066372689385</v>
      </c>
      <c r="D59" s="21" t="s">
        <v>524</v>
      </c>
      <c r="I59" s="21" t="s">
        <v>525</v>
      </c>
    </row>
    <row r="60" spans="2:9">
      <c r="B60" s="20" t="s">
        <v>39</v>
      </c>
      <c r="C60" s="40">
        <v>90.737054939500212</v>
      </c>
      <c r="D60" s="21" t="s">
        <v>177</v>
      </c>
      <c r="E60" s="21" t="s">
        <v>178</v>
      </c>
      <c r="F60" s="21">
        <v>2021</v>
      </c>
      <c r="G60" s="51" t="s">
        <v>179</v>
      </c>
      <c r="I60" s="21" t="s">
        <v>180</v>
      </c>
    </row>
    <row r="61" spans="2:9">
      <c r="B61" s="20" t="s">
        <v>15</v>
      </c>
      <c r="C61" s="40">
        <v>70.268221021704093</v>
      </c>
      <c r="D61" s="21" t="s">
        <v>177</v>
      </c>
      <c r="E61" s="21" t="s">
        <v>178</v>
      </c>
      <c r="F61" s="21">
        <v>2021</v>
      </c>
      <c r="G61" s="21" t="s">
        <v>179</v>
      </c>
      <c r="I61" s="21" t="s">
        <v>181</v>
      </c>
    </row>
    <row r="62" spans="2:9">
      <c r="B62" s="20" t="s">
        <v>26</v>
      </c>
      <c r="C62" s="40">
        <v>50.146905506587053</v>
      </c>
      <c r="D62" s="21" t="s">
        <v>177</v>
      </c>
      <c r="E62" s="21" t="s">
        <v>178</v>
      </c>
      <c r="F62" s="21">
        <v>2021</v>
      </c>
      <c r="G62" s="21" t="s">
        <v>179</v>
      </c>
      <c r="I62" s="21" t="s">
        <v>182</v>
      </c>
    </row>
    <row r="63" spans="2:9">
      <c r="B63" s="20" t="s">
        <v>526</v>
      </c>
      <c r="C63" s="21">
        <v>0</v>
      </c>
      <c r="D63" s="21" t="s">
        <v>177</v>
      </c>
      <c r="E63" s="27" t="s">
        <v>51</v>
      </c>
      <c r="F63" s="27" t="s">
        <v>52</v>
      </c>
      <c r="G63" s="27" t="s">
        <v>527</v>
      </c>
      <c r="H63" s="27" t="s">
        <v>52</v>
      </c>
    </row>
    <row r="65" spans="1:9">
      <c r="A65" s="9"/>
      <c r="B65" s="53" t="s">
        <v>191</v>
      </c>
      <c r="C65" s="35"/>
      <c r="D65" s="35"/>
      <c r="E65" s="35"/>
      <c r="F65" s="35"/>
      <c r="G65" s="35"/>
      <c r="H65" s="35"/>
      <c r="I65" s="35"/>
    </row>
    <row r="66" spans="1:9">
      <c r="B66" s="24" t="s">
        <v>47</v>
      </c>
      <c r="C66" s="24" t="s">
        <v>48</v>
      </c>
      <c r="D66" s="24" t="s">
        <v>49</v>
      </c>
      <c r="E66" s="24" t="s">
        <v>28</v>
      </c>
      <c r="F66" s="24" t="s">
        <v>50</v>
      </c>
      <c r="G66" s="24" t="s">
        <v>29</v>
      </c>
      <c r="H66" s="24" t="s">
        <v>122</v>
      </c>
      <c r="I66" s="24" t="s">
        <v>123</v>
      </c>
    </row>
    <row r="68" spans="1:9">
      <c r="B68" s="21" t="s">
        <v>192</v>
      </c>
      <c r="D68" s="21" t="s">
        <v>125</v>
      </c>
      <c r="I68" s="21" t="s">
        <v>536</v>
      </c>
    </row>
    <row r="69" spans="1:9">
      <c r="B69" s="21" t="s">
        <v>537</v>
      </c>
      <c r="C69" s="38" t="s">
        <v>42</v>
      </c>
      <c r="D69" s="21" t="s">
        <v>125</v>
      </c>
      <c r="E69" s="21" t="s">
        <v>52</v>
      </c>
      <c r="F69" s="21" t="s">
        <v>52</v>
      </c>
      <c r="G69" s="21" t="s">
        <v>52</v>
      </c>
      <c r="H69" s="21" t="s">
        <v>52</v>
      </c>
    </row>
    <row r="70" spans="1:9">
      <c r="B70" s="21" t="s">
        <v>538</v>
      </c>
      <c r="C70" s="38" t="s">
        <v>42</v>
      </c>
      <c r="D70" s="21" t="s">
        <v>125</v>
      </c>
      <c r="E70" s="21" t="s">
        <v>52</v>
      </c>
      <c r="F70" s="21" t="s">
        <v>52</v>
      </c>
      <c r="G70" s="21" t="s">
        <v>52</v>
      </c>
      <c r="H70" s="21" t="s">
        <v>52</v>
      </c>
    </row>
    <row r="71" spans="1:9">
      <c r="C71" s="38" t="s">
        <v>42</v>
      </c>
      <c r="D71" s="21" t="s">
        <v>125</v>
      </c>
      <c r="E71" s="21" t="s">
        <v>52</v>
      </c>
      <c r="F71" s="21" t="s">
        <v>52</v>
      </c>
      <c r="G71" s="21" t="s">
        <v>52</v>
      </c>
      <c r="H71" s="21" t="s">
        <v>52</v>
      </c>
    </row>
    <row r="72" spans="1:9">
      <c r="B72" s="21" t="s">
        <v>193</v>
      </c>
      <c r="C72" s="98">
        <f>C9*1000/96</f>
        <v>11.5625</v>
      </c>
      <c r="D72" s="21" t="s">
        <v>194</v>
      </c>
      <c r="E72" s="21" t="s">
        <v>52</v>
      </c>
      <c r="F72" s="21" t="s">
        <v>52</v>
      </c>
      <c r="G72" s="21" t="s">
        <v>52</v>
      </c>
      <c r="H72" s="21" t="s">
        <v>52</v>
      </c>
      <c r="I72" s="21" t="s">
        <v>685</v>
      </c>
    </row>
    <row r="73" spans="1:9">
      <c r="B73" s="21" t="s">
        <v>195</v>
      </c>
      <c r="C73" s="38" t="s">
        <v>42</v>
      </c>
      <c r="D73" s="21" t="s">
        <v>125</v>
      </c>
      <c r="E73" s="21" t="s">
        <v>52</v>
      </c>
      <c r="F73" s="21" t="s">
        <v>52</v>
      </c>
      <c r="G73" s="21" t="s">
        <v>52</v>
      </c>
      <c r="H73" s="21" t="s">
        <v>52</v>
      </c>
    </row>
    <row r="75" spans="1:9">
      <c r="B75" s="53" t="s">
        <v>196</v>
      </c>
      <c r="C75" s="35"/>
      <c r="D75" s="35"/>
      <c r="E75" s="35"/>
      <c r="F75" s="35"/>
      <c r="G75" s="35"/>
      <c r="H75" s="35"/>
      <c r="I75" s="35"/>
    </row>
    <row r="76" spans="1:9">
      <c r="B76" s="24" t="s">
        <v>47</v>
      </c>
      <c r="C76" s="24" t="s">
        <v>48</v>
      </c>
      <c r="D76" s="24" t="s">
        <v>49</v>
      </c>
      <c r="E76" s="24" t="s">
        <v>28</v>
      </c>
      <c r="F76" s="24" t="s">
        <v>50</v>
      </c>
      <c r="G76" s="24" t="s">
        <v>29</v>
      </c>
      <c r="H76" s="24" t="s">
        <v>122</v>
      </c>
      <c r="I76" s="24" t="s">
        <v>123</v>
      </c>
    </row>
    <row r="78" spans="1:9">
      <c r="B78" s="21" t="s">
        <v>686</v>
      </c>
      <c r="C78" s="93">
        <v>95.2</v>
      </c>
      <c r="D78" s="21" t="s">
        <v>198</v>
      </c>
      <c r="E78" s="21" t="s">
        <v>497</v>
      </c>
      <c r="F78" s="21">
        <v>2021</v>
      </c>
      <c r="G78" s="51" t="s">
        <v>34</v>
      </c>
      <c r="I78" s="21" t="s">
        <v>540</v>
      </c>
    </row>
    <row r="79" spans="1:9">
      <c r="B79" s="20" t="s">
        <v>687</v>
      </c>
      <c r="C79" s="44">
        <v>0.34</v>
      </c>
      <c r="E79" s="21" t="s">
        <v>497</v>
      </c>
      <c r="G79" s="21" t="s">
        <v>129</v>
      </c>
    </row>
    <row r="80" spans="1:9">
      <c r="B80" s="21" t="s">
        <v>542</v>
      </c>
      <c r="C80" s="93">
        <v>171</v>
      </c>
      <c r="D80" s="21" t="s">
        <v>198</v>
      </c>
      <c r="E80" s="21" t="s">
        <v>497</v>
      </c>
      <c r="F80" s="21">
        <v>2021</v>
      </c>
      <c r="G80" s="21" t="s">
        <v>129</v>
      </c>
    </row>
    <row r="81" spans="2:9">
      <c r="B81" s="20" t="s">
        <v>543</v>
      </c>
      <c r="C81" s="44">
        <v>0.49</v>
      </c>
      <c r="E81" s="21" t="s">
        <v>497</v>
      </c>
      <c r="G81" s="21" t="s">
        <v>129</v>
      </c>
    </row>
    <row r="82" spans="2:9">
      <c r="B82" s="21" t="s">
        <v>544</v>
      </c>
      <c r="C82" s="93">
        <v>150</v>
      </c>
      <c r="D82" s="21" t="s">
        <v>198</v>
      </c>
      <c r="E82" s="21" t="s">
        <v>497</v>
      </c>
      <c r="F82" s="21">
        <v>2021</v>
      </c>
      <c r="G82" s="21" t="s">
        <v>129</v>
      </c>
    </row>
    <row r="83" spans="2:9">
      <c r="B83" s="20" t="s">
        <v>543</v>
      </c>
      <c r="C83" s="44">
        <v>0.57999999999999996</v>
      </c>
      <c r="E83" s="21" t="s">
        <v>497</v>
      </c>
      <c r="G83" s="21" t="s">
        <v>129</v>
      </c>
    </row>
    <row r="85" spans="2:9" s="18" customFormat="1">
      <c r="B85" s="53" t="s">
        <v>370</v>
      </c>
      <c r="C85" s="35"/>
      <c r="D85" s="35"/>
      <c r="E85" s="35"/>
      <c r="F85" s="35"/>
      <c r="G85" s="35"/>
      <c r="H85" s="35"/>
      <c r="I85" s="35"/>
    </row>
    <row r="151" spans="9:9">
      <c r="I151" s="21" t="s">
        <v>688</v>
      </c>
    </row>
  </sheetData>
  <hyperlinks>
    <hyperlink ref="G41" r:id="rId1" display="https://international-aluminium.org/statistics/metallurgical-alumina-refining-energy-intensity/_x000a_" xr:uid="{3E84ECDA-8EE2-438F-9BCF-77ED70205012}"/>
    <hyperlink ref="G24" r:id="rId2" xr:uid="{71A45D2A-7760-4DD8-BD83-7DA626E159C8}"/>
    <hyperlink ref="G23" r:id="rId3" display="https://aluminium-stewardship.org/wp-content/uploads/2021/10/20211012-ASI-GHG-Validation-Report_v2.0_GENERIC.pdf" xr:uid="{D233BD9E-9050-4737-968E-5B4E7662BF7F}"/>
    <hyperlink ref="G20" r:id="rId4" display="https://international-aluminium.org/resource/beyond-2-degrees-the-outlook-for-the-aluminium-sector-factsheet/" xr:uid="{7263E264-EDFC-4E75-8DBC-B4FB7A538EF3}"/>
    <hyperlink ref="G33" r:id="rId5" display="https://aluminium-stewardship.org/wp-content/uploads/2021/10/20211012-ASI-GHG-Validation-Report_v2.0_GENERIC.pdf" xr:uid="{6302B675-C493-4607-B284-003E981C3B06}"/>
    <hyperlink ref="G60" r:id="rId6" xr:uid="{0BEE0579-5A49-4709-A78D-018FBFF685D1}"/>
    <hyperlink ref="G78" r:id="rId7" display="https://alucycle.international-aluminium.org/public-access/" xr:uid="{C2C2D405-8376-4FC0-A3E0-6F61912C3DBF}"/>
    <hyperlink ref="G12" r:id="rId8" display="https://international-aluminium.org/statistics/greenhouse-gas-emissions-aluminium-sector/" xr:uid="{B2895790-6DE3-45A4-B87C-61174251B385}"/>
    <hyperlink ref="G9" r:id="rId9" display="https://international-aluminium.org/statistics/greenhouse-gas-emissions-aluminium-sector/" xr:uid="{1C9B1F31-209F-4C6C-90AB-36B9FBFFF322}"/>
    <hyperlink ref="G35" r:id="rId10" display="https://international-aluminium.org/resource/beyond-2-degrees-the-outlook-for-the-aluminium-sector-factsheet/" xr:uid="{C7CD8FC5-846D-4CE9-98EF-3226193C3AD4}"/>
    <hyperlink ref="G48" r:id="rId11" display="https://international-aluminium.org/statistics/primary-aluminium-smelting-power-consumption/" xr:uid="{6180FCE6-A568-41CA-936E-6309BDDBD219}"/>
  </hyperlinks>
  <pageMargins left="0.7" right="0.7" top="0.75" bottom="0.75" header="0.3" footer="0.3"/>
  <pageSetup orientation="portrait"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5c158b-93e6-41cc-a975-14db0f88961d">
      <Terms xmlns="http://schemas.microsoft.com/office/infopath/2007/PartnerControls"/>
    </lcf76f155ced4ddcb4097134ff3c332f>
    <TaxCatchAll xmlns="275628d1-ffe1-4f85-ad12-53fd11658d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797403E1169F41B6D973C1B177562B" ma:contentTypeVersion="15" ma:contentTypeDescription="Create a new document." ma:contentTypeScope="" ma:versionID="cd71c1b88d99d6a246f7ca7e7b177220">
  <xsd:schema xmlns:xsd="http://www.w3.org/2001/XMLSchema" xmlns:xs="http://www.w3.org/2001/XMLSchema" xmlns:p="http://schemas.microsoft.com/office/2006/metadata/properties" xmlns:ns2="8a5c158b-93e6-41cc-a975-14db0f88961d" xmlns:ns3="275628d1-ffe1-4f85-ad12-53fd11658d38" targetNamespace="http://schemas.microsoft.com/office/2006/metadata/properties" ma:root="true" ma:fieldsID="b8377e7e743af0a74936f0ce46dec8ef" ns2:_="" ns3:_="">
    <xsd:import namespace="8a5c158b-93e6-41cc-a975-14db0f88961d"/>
    <xsd:import namespace="275628d1-ffe1-4f85-ad12-53fd11658d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c158b-93e6-41cc-a975-14db0f8896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5628d1-ffe1-4f85-ad12-53fd11658d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296727-5d73-49fa-b49d-01a6b7049ef9}" ma:internalName="TaxCatchAll" ma:showField="CatchAllData" ma:web="275628d1-ffe1-4f85-ad12-53fd11658d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BA870-EB3B-47B4-8DB5-10872D5FDD8A}">
  <ds:schemaRefs>
    <ds:schemaRef ds:uri="http://schemas.openxmlformats.org/package/2006/metadata/core-properties"/>
    <ds:schemaRef ds:uri="http://purl.org/dc/elements/1.1/"/>
    <ds:schemaRef ds:uri="http://www.w3.org/XML/1998/namespace"/>
    <ds:schemaRef ds:uri="http://schemas.microsoft.com/office/2006/documentManagement/types"/>
    <ds:schemaRef ds:uri="8a5c158b-93e6-41cc-a975-14db0f88961d"/>
    <ds:schemaRef ds:uri="http://schemas.microsoft.com/office/2006/metadata/properties"/>
    <ds:schemaRef ds:uri="http://purl.org/dc/terms/"/>
    <ds:schemaRef ds:uri="http://schemas.microsoft.com/office/infopath/2007/PartnerControls"/>
    <ds:schemaRef ds:uri="275628d1-ffe1-4f85-ad12-53fd11658d38"/>
    <ds:schemaRef ds:uri="http://purl.org/dc/dcmitype/"/>
  </ds:schemaRefs>
</ds:datastoreItem>
</file>

<file path=customXml/itemProps2.xml><?xml version="1.0" encoding="utf-8"?>
<ds:datastoreItem xmlns:ds="http://schemas.openxmlformats.org/officeDocument/2006/customXml" ds:itemID="{5B73F581-D8DD-4E63-9D99-ADDCADF92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5c158b-93e6-41cc-a975-14db0f88961d"/>
    <ds:schemaRef ds:uri="275628d1-ffe1-4f85-ad12-53fd11658d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5842D3-B369-4A42-BC4C-7304AF405D6A}">
  <ds:schemaRefs>
    <ds:schemaRef ds:uri="http://schemas.microsoft.com/sharepoint/v3/contenttype/forms"/>
  </ds:schemaRefs>
</ds:datastoreItem>
</file>

<file path=docMetadata/LabelInfo.xml><?xml version="1.0" encoding="utf-8"?>
<clbl:labelList xmlns:clbl="http://schemas.microsoft.com/office/2020/mipLabelMetadata">
  <clbl:label id="{0bfa236d-8472-42aa-9a40-ab46036c5596}" enabled="1" method="Privileged" siteId="{e0793d39-0939-496d-b129-198edd916feb}"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TOC</vt:lpstr>
      <vt:lpstr>SUM</vt:lpstr>
      <vt:lpstr>STE-P</vt:lpstr>
      <vt:lpstr>STE-R</vt:lpstr>
      <vt:lpstr>CEM-P</vt:lpstr>
      <vt:lpstr>CEM-R</vt:lpstr>
      <vt:lpstr>ALU-P</vt:lpstr>
      <vt:lpstr>ALU-R</vt:lpstr>
      <vt:lpstr>ALU-P1</vt:lpstr>
      <vt:lpstr>ALU-R1</vt:lpstr>
      <vt:lpstr>AMM-P</vt:lpstr>
      <vt:lpstr>AMM-R</vt:lpstr>
      <vt:lpstr>OIL-P</vt:lpstr>
      <vt:lpstr>OIL-R</vt:lpstr>
      <vt:lpstr>GAS-P</vt:lpstr>
      <vt:lpstr>GAS-R</vt:lpstr>
      <vt:lpstr>SHP-P</vt:lpstr>
      <vt:lpstr>SHP-R</vt:lpstr>
      <vt:lpstr>TRU-P</vt:lpstr>
      <vt:lpstr>TRU-R</vt:lpstr>
      <vt:lpstr>AVI - P</vt:lpstr>
      <vt:lpstr>AVI-R</vt:lpstr>
      <vt:lpstr>GLO</vt:lpstr>
      <vt:lpstr>cubicFoot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 Jonathan Zhi Jie</dc:creator>
  <cp:keywords/>
  <dc:description/>
  <cp:lastModifiedBy>Kamal Kimaoui</cp:lastModifiedBy>
  <cp:revision/>
  <dcterms:created xsi:type="dcterms:W3CDTF">2015-06-05T18:17:20Z</dcterms:created>
  <dcterms:modified xsi:type="dcterms:W3CDTF">2023-11-27T14:12:29Z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0x0101007D797403E1169F41B6D973C1B177562B</vt:lpwstr>
  </property>
  <property fmtid="{D5CDD505-2E9C-101B-9397-08002B2CF9AE}" pid="3" name="MSIP_Label_0bfa236d-8472-42aa-9a40-ab46036c5596_Enabled">
    <vt:lpwstr>true</vt:lpwstr>
  </property>
  <property fmtid="{D5CDD505-2E9C-101B-9397-08002B2CF9AE}" pid="4" name="MSIP_Label_0bfa236d-8472-42aa-9a40-ab46036c5596_SetDate">
    <vt:lpwstr>2022-05-31T11:16:18Z</vt:lpwstr>
  </property>
  <property fmtid="{D5CDD505-2E9C-101B-9397-08002B2CF9AE}" pid="5" name="MSIP_Label_0bfa236d-8472-42aa-9a40-ab46036c5596_Method">
    <vt:lpwstr>Privileged</vt:lpwstr>
  </property>
  <property fmtid="{D5CDD505-2E9C-101B-9397-08002B2CF9AE}" pid="6" name="MSIP_Label_0bfa236d-8472-42aa-9a40-ab46036c5596_Name">
    <vt:lpwstr>Non-Business</vt:lpwstr>
  </property>
  <property fmtid="{D5CDD505-2E9C-101B-9397-08002B2CF9AE}" pid="7" name="MSIP_Label_0bfa236d-8472-42aa-9a40-ab46036c5596_SiteId">
    <vt:lpwstr>e0793d39-0939-496d-b129-198edd916feb</vt:lpwstr>
  </property>
  <property fmtid="{D5CDD505-2E9C-101B-9397-08002B2CF9AE}" pid="8" name="MSIP_Label_0bfa236d-8472-42aa-9a40-ab46036c5596_ActionId">
    <vt:lpwstr>2551ff46-08f1-4ff3-b083-a6ae8d3ca1ce</vt:lpwstr>
  </property>
  <property fmtid="{D5CDD505-2E9C-101B-9397-08002B2CF9AE}" pid="9" name="MSIP_Label_0bfa236d-8472-42aa-9a40-ab46036c5596_ContentBits">
    <vt:lpwstr>0</vt:lpwstr>
  </property>
  <property fmtid="{D5CDD505-2E9C-101B-9397-08002B2CF9AE}" pid="10" name="{A44787D4-0540-4523-9961-78E4036D8C6D}">
    <vt:lpwstr>{D848670B-557F-413A-9BE3-307CAFA2451B}</vt:lpwstr>
  </property>
  <property fmtid="{D5CDD505-2E9C-101B-9397-08002B2CF9AE}" pid="11" name="MediaServiceImageTags">
    <vt:lpwstr/>
  </property>
  <property fmtid="{D5CDD505-2E9C-101B-9397-08002B2CF9AE}" pid="12" name="MSIP_Label_19006cc7-c70d-4bd8-a78b-fbf04854936c_Enabled">
    <vt:lpwstr>true</vt:lpwstr>
  </property>
  <property fmtid="{D5CDD505-2E9C-101B-9397-08002B2CF9AE}" pid="13" name="MSIP_Label_19006cc7-c70d-4bd8-a78b-fbf04854936c_SetDate">
    <vt:lpwstr>2023-11-27T14:12:06Z</vt:lpwstr>
  </property>
  <property fmtid="{D5CDD505-2E9C-101B-9397-08002B2CF9AE}" pid="14" name="MSIP_Label_19006cc7-c70d-4bd8-a78b-fbf04854936c_Method">
    <vt:lpwstr>Standard</vt:lpwstr>
  </property>
  <property fmtid="{D5CDD505-2E9C-101B-9397-08002B2CF9AE}" pid="15" name="MSIP_Label_19006cc7-c70d-4bd8-a78b-fbf04854936c_Name">
    <vt:lpwstr>19006cc7-c70d-4bd8-a78b-fbf04854936c</vt:lpwstr>
  </property>
  <property fmtid="{D5CDD505-2E9C-101B-9397-08002B2CF9AE}" pid="16" name="MSIP_Label_19006cc7-c70d-4bd8-a78b-fbf04854936c_SiteId">
    <vt:lpwstr>8e321739-7ad8-452b-9db9-5d4406095d62</vt:lpwstr>
  </property>
  <property fmtid="{D5CDD505-2E9C-101B-9397-08002B2CF9AE}" pid="17" name="MSIP_Label_19006cc7-c70d-4bd8-a78b-fbf04854936c_ActionId">
    <vt:lpwstr>65fdefca-04b7-4156-bc71-968df08d0bd9</vt:lpwstr>
  </property>
  <property fmtid="{D5CDD505-2E9C-101B-9397-08002B2CF9AE}" pid="18" name="MSIP_Label_19006cc7-c70d-4bd8-a78b-fbf04854936c_ContentBits">
    <vt:lpwstr>0</vt:lpwstr>
  </property>
</Properties>
</file>